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663" windowHeight="7757" tabRatio="683" activeTab="3"/>
  </bookViews>
  <sheets>
    <sheet name="1º TRIMESTRE" sheetId="1" r:id="rId1"/>
    <sheet name="2º TRIMESTRE" sheetId="2" r:id="rId2"/>
    <sheet name="3o TRIMESTRE" sheetId="3" r:id="rId3"/>
    <sheet name="4o TRIMESTRE" sheetId="4" r:id="rId4"/>
    <sheet name="Consolidado" sheetId="5" r:id="rId5"/>
    <sheet name="Relatório de Compatibilidade" sheetId="6" r:id="rId6"/>
  </sheets>
  <definedNames>
    <definedName name="__Anonymous_Sheet_DB__1">'1º TRIMESTRE'!$C$7:$U$48</definedName>
    <definedName name="_xlnm._FilterDatabase" localSheetId="3" hidden="1">'4o TRIMESTRE'!$A$7:$AC$87</definedName>
    <definedName name="_xlnm._FilterDatabase" localSheetId="4" hidden="1">'Consolidado'!$A$7:$DO$130</definedName>
    <definedName name="_xlnm.Print_Area" localSheetId="0">'1º TRIMESTRE'!$A$1:$V$63</definedName>
    <definedName name="_xlnm.Print_Area" localSheetId="1">'2º TRIMESTRE'!$A$1:$V$108</definedName>
    <definedName name="_xlnm.Print_Area" localSheetId="2">'3o TRIMESTRE'!$A$1:$V$126</definedName>
    <definedName name="_xlnm.Print_Area" localSheetId="3">'4o TRIMESTRE'!$A$6:$V$87</definedName>
    <definedName name="_xlnm.Print_Area" localSheetId="4">'Consolidado'!$I$7:$P$130</definedName>
    <definedName name="_xlnm.Print_Titles" localSheetId="0">'1º TRIMESTRE'!$1:$7</definedName>
    <definedName name="_xlnm.Print_Titles" localSheetId="1">'2º TRIMESTRE'!$1:$7</definedName>
    <definedName name="_xlnm.Print_Titles" localSheetId="2">'3o TRIMESTRE'!$3:$7</definedName>
    <definedName name="_xlnm.Print_Titles" localSheetId="3">'4o TRIMESTRE'!$1:$7</definedName>
    <definedName name="_xlnm.Print_Titles" localSheetId="4">'Consolidado'!$1:$7</definedName>
  </definedNames>
  <calcPr fullCalcOnLoad="1"/>
</workbook>
</file>

<file path=xl/comments5.xml><?xml version="1.0" encoding="utf-8"?>
<comments xmlns="http://schemas.openxmlformats.org/spreadsheetml/2006/main">
  <authors>
    <author>DAF</author>
  </authors>
  <commentList>
    <comment ref="AA86" authorId="0">
      <text>
        <r>
          <rPr>
            <b/>
            <sz val="9"/>
            <rFont val="Tahoma"/>
            <family val="2"/>
          </rPr>
          <t>DAF:</t>
        </r>
        <r>
          <rPr>
            <sz val="9"/>
            <rFont val="Tahoma"/>
            <family val="2"/>
          </rPr>
          <t xml:space="preserve">
Valor medido e compesado pela diferença do preço do fresado</t>
        </r>
      </text>
    </comment>
  </commentList>
</comments>
</file>

<file path=xl/sharedStrings.xml><?xml version="1.0" encoding="utf-8"?>
<sst xmlns="http://schemas.openxmlformats.org/spreadsheetml/2006/main" count="1189" uniqueCount="497">
  <si>
    <t>MAPA DEMONSTRATIVO DE OBRAS E SERVIÇOS DE ENGENHARIA</t>
  </si>
  <si>
    <t>Responsável pelo preenchimento</t>
  </si>
  <si>
    <t>Responsável pela Unidade</t>
  </si>
  <si>
    <t>Ordenador de Despesa</t>
  </si>
  <si>
    <t>MODALIDADE / Nº LICITAÇÃO</t>
  </si>
  <si>
    <t>IDENTIFICAÇÃO DA OBRA, SERVIÇO OU AQUISIÇÃO</t>
  </si>
  <si>
    <t>CONVÊNIO</t>
  </si>
  <si>
    <t>CONTRATADO</t>
  </si>
  <si>
    <t>CONTRATO</t>
  </si>
  <si>
    <t>ADITIVO</t>
  </si>
  <si>
    <t>REAJUSTE
(R$)</t>
  </si>
  <si>
    <t>EXECUÇÃO</t>
  </si>
  <si>
    <t>SITUAÇÃO</t>
  </si>
  <si>
    <t>Nº/Ano</t>
  </si>
  <si>
    <t>CONCEDENTE</t>
  </si>
  <si>
    <t>REPASSE
(R$)</t>
  </si>
  <si>
    <t>CONTRAPARTIDA (R$)</t>
  </si>
  <si>
    <t>CNPJ/CPF</t>
  </si>
  <si>
    <t>RAZÃO SOCIAL</t>
  </si>
  <si>
    <t>DATA INÍCIO</t>
  </si>
  <si>
    <t>PRAZO</t>
  </si>
  <si>
    <t>VALOR CONTRATADO (R$)</t>
  </si>
  <si>
    <t>DATA CONCLUSÃO / PARALISAÇÃO</t>
  </si>
  <si>
    <t>PRAZO ADITADO</t>
  </si>
  <si>
    <t>VALOR ADITADO ACUMULADO
(R$)</t>
  </si>
  <si>
    <t>NATUREZA DA DESPESA</t>
  </si>
  <si>
    <t>VALOR MEDIDO ACUMULADO
(R$)</t>
  </si>
  <si>
    <t>VALOR PAGO ACUMULADO NO PERÍODO
(R$)</t>
  </si>
  <si>
    <t>VALOR PAGO ACUMULADO NO EXERCÍCIO
(R$)</t>
  </si>
  <si>
    <t>VALOR  PAGO ACUMULADO NA OBRA OU SERVIÇO
(R$)</t>
  </si>
  <si>
    <t>3.3.90.39</t>
  </si>
  <si>
    <t>andamento</t>
  </si>
  <si>
    <t>06.157.352/0001-31</t>
  </si>
  <si>
    <t>10.811.370/0001-62</t>
  </si>
  <si>
    <t>005/2016</t>
  </si>
  <si>
    <t>40.884.405/0001-54</t>
  </si>
  <si>
    <t>41.116.138/0001-38</t>
  </si>
  <si>
    <t xml:space="preserve">REAL ENERGY LTDA                                            </t>
  </si>
  <si>
    <t>11.187.606/0001-02</t>
  </si>
  <si>
    <t xml:space="preserve">ATEPE ASSOCIACAO TECNOLOGICA DE PERNAMBUCO                  </t>
  </si>
  <si>
    <t>ROBERTO &amp; JAIR COMÉRCIO E SERVIÇOS LTDA-ME</t>
  </si>
  <si>
    <t>007/2015</t>
  </si>
  <si>
    <t>01.346.561/0001-00</t>
  </si>
  <si>
    <t>VASCONCELOS E SANTOS LTDA</t>
  </si>
  <si>
    <t>08.165.091/0002-08</t>
  </si>
  <si>
    <t>12.854.865/0001-02</t>
  </si>
  <si>
    <t>02.536.066/0015-21</t>
  </si>
  <si>
    <t xml:space="preserve">CONSTRUTORA MARDIFI LTDA - EPP </t>
  </si>
  <si>
    <t>ENGEMAIA E CIA LTDA</t>
  </si>
  <si>
    <t>4.4.90.39</t>
  </si>
  <si>
    <t xml:space="preserve">ECOPESA AMBIENTAL S/A                   </t>
  </si>
  <si>
    <t>PREGÃO  / Nº 14/2016</t>
  </si>
  <si>
    <t xml:space="preserve">SERVIÇOS DE LIMPEZA URBANA – DESTINAÇÃO FINAL DOS RESÍDUOS SÓLIDOS </t>
  </si>
  <si>
    <t>6-022/16</t>
  </si>
  <si>
    <t>VITAL ENGENHARIA AMBIENTAL S/A</t>
  </si>
  <si>
    <t>CONCORRÊNCIA 03/2016</t>
  </si>
  <si>
    <t xml:space="preserve">SERVIÇOS DE APOIO TÉCNICO AO MKONITORAMENTO DAS AÇÕES DE MANUTENÇÃO DO SISTEMA VIÁRIO DA CIDADE DO RECIFE, </t>
  </si>
  <si>
    <t xml:space="preserve">41.075.755/0001-32 </t>
  </si>
  <si>
    <t>6-023/16</t>
  </si>
  <si>
    <t>COELHO DE  ANDRADE ENGENHARIA LTDA</t>
  </si>
  <si>
    <t>6-024/16</t>
  </si>
  <si>
    <t>01.514.128/0001-36</t>
  </si>
  <si>
    <t>00.999.591/0001-52</t>
  </si>
  <si>
    <t xml:space="preserve">AGC CONSTRUTORA E EMPREENDIMENTOS LTDA                      </t>
  </si>
  <si>
    <t>6-002/17</t>
  </si>
  <si>
    <t>SEVIÇOS CONTÍNUOS DE MANUTENÇÃO CORRETIVA E PREVENTIVA E EXPANSÃO DA ILUMINAÇÃO ESPECIAL NA CIDADE DO RECIFE</t>
  </si>
  <si>
    <t>LOQUIPE LOCACAO DE EQUIPAMENTOS E MAO DE OBRA LTDA</t>
  </si>
  <si>
    <t>Relatório de Compatibilidade para Mapa Demonstrativo de Obras  2 tri Maio 2017 .xls</t>
  </si>
  <si>
    <t>Executar em 20/06/2017 11:13</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</si>
  <si>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</si>
  <si>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</si>
  <si>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</si>
  <si>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</si>
  <si>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</si>
  <si>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</si>
  <si>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PREGÃO PRESENCIAL/ Nº 014/2016</t>
  </si>
  <si>
    <t>SERVIÇO DE LIMPEZA URBANA - DESTINAÇÃO FINAL DOS RESÍDUOS SÓLIDOS</t>
  </si>
  <si>
    <t>CICLO AMBIENTAL LTDA</t>
  </si>
  <si>
    <t>6-025/16</t>
  </si>
  <si>
    <t>6-013/17</t>
  </si>
  <si>
    <t>SERVIÇOS ESPECIALIZADOS DE ENGENHARIA AGRONÔMICA COM SERVIÇOS DE MANUTENÇÃO DE ARBORETO, PARQUES, PRAÇAS E DEMAIS ÁREAS VERDES</t>
  </si>
  <si>
    <t> PREGÃO PRESENCIAL Licitação: 4/2017</t>
  </si>
  <si>
    <t>CONSTRUTORA FAELLA LTDA EPP</t>
  </si>
  <si>
    <t>11.523.068/0001-71</t>
  </si>
  <si>
    <t>UNIDADE ORÇAMENTÁRIA: AUTARQUIA DE MANUTENÇÃO E LIMPEZA URBANA – EMLURB</t>
  </si>
  <si>
    <t>REPASSE (R$)</t>
  </si>
  <si>
    <t>05.625.079/0001-60</t>
  </si>
  <si>
    <t>PERÍODO REFERENCIAL: JANEIRO A DEZEMBRO</t>
  </si>
  <si>
    <t>00.449.936/0001-02</t>
  </si>
  <si>
    <t>007/2015 E 001/2017</t>
  </si>
  <si>
    <t>23.742.620/0001-00</t>
  </si>
  <si>
    <t>GUERRA CONSTRUCOES LTDA</t>
  </si>
  <si>
    <t>03.834.750/0001-57</t>
  </si>
  <si>
    <t>EIP SERVICOS DE ILUMINACAO LTDA</t>
  </si>
  <si>
    <t>07.693.988/0001-60</t>
  </si>
  <si>
    <t>F R F ENGENHARIA LTDA</t>
  </si>
  <si>
    <t>SERVIÇOS DE MANUTENÇÃO PREVENTIVA DO SISTEMA DE MACRODRENAGEM EM TODAS AS RPA'S DA CIDADE DO RECIFE - RPA 01 E 06</t>
  </si>
  <si>
    <t>CONCORRÊNCIA Licitação: 10/2018</t>
  </si>
  <si>
    <t>SCAVE SERVICOS DE ENGENHARIA E LOCACAO LTDA</t>
  </si>
  <si>
    <t>6-017/19</t>
  </si>
  <si>
    <t>6-018/19</t>
  </si>
  <si>
    <t>SERVIÇOS DE MANUTENÇÃO PREVENTIVA DO SISTEMA DE MACRODRENAGEM EM TODAS AS RPA'S DA CIDADE DO RECIFE - RPA 04, 05</t>
  </si>
  <si>
    <t>SERVIÇOS DE MANUTENÇÃO PREVENTIVA DO SISTEMA DE MACRODRENAGEM EM TODAS AS RPA'S DA CIDADE DO RECIFE - RPA 02 e 03</t>
  </si>
  <si>
    <t>6-019/19</t>
  </si>
  <si>
    <t>40.882.060/0001-08</t>
  </si>
  <si>
    <t>LIDERMAC CONSTRUCOES E EQUIPAMENTOS LTDA</t>
  </si>
  <si>
    <t>07.086.088/0001-55</t>
  </si>
  <si>
    <t>SOLO CONSTRUCOES E TERRAPLANAGEM LTDA</t>
  </si>
  <si>
    <t>FINISA</t>
  </si>
  <si>
    <t>SERVIÇOS COMPLEMENTARES DE LIMPEZA URBANA EM ÁREAS PLANAS E DE TALUDE E SERVIÇOS DE MANUTENÇÃO CONTÍNUA PREVENTIVA E CORRETIVA DA ARBORIZAÇÃO URBANA EM MORROS, INCLUINDO A LOCAÇÃO DE VEÍCULOS E EQUIPAMENTOS.</t>
  </si>
  <si>
    <t>6-024/19</t>
  </si>
  <si>
    <t>CONCORRÊNCIA Licitação:    004/2019</t>
  </si>
  <si>
    <t>MARÍLIA DANTAS DA SILVA –Diretora Presidente – CPF: 047.828.504-33</t>
  </si>
  <si>
    <t>UNIDADE: 5010</t>
  </si>
  <si>
    <t>REAL ENERGY LTDA</t>
  </si>
  <si>
    <t>EMPRESA DE ENGENHARIA ESPECIALIZADA EM ILUMINAÇÃO PÚBLICA, PARA FORNECIMENTO E INSTALAÇÃO DE EQUIPAMENTOS DE SEGURANÇA CONTRA VAZAMENTO DE CORRENTES ELÉTRICAS E ATERRAMENTO DOS POSTES DE ILUMINAÇÃO PUBLICA DAS PRAÇAS E PARQUES DA CIDADE DO RECIFE.</t>
  </si>
  <si>
    <t>CONCORRÊNCIA / nº 007/2019</t>
  </si>
  <si>
    <t>6-051/19</t>
  </si>
  <si>
    <t>THAIANE JACÓ ARRAES ARAGÃO - CPF 055.059.884-74</t>
  </si>
  <si>
    <t>07.157.925/0001-90</t>
  </si>
  <si>
    <t>WB CONSTRUTORA LTDA</t>
  </si>
  <si>
    <t>495721/2018 e 02/2018 , 16/2019 e 01/2020</t>
  </si>
  <si>
    <t>FINISA e CTTU</t>
  </si>
  <si>
    <r>
      <t xml:space="preserve">PERÍODO REFERENCIAL: </t>
    </r>
    <r>
      <rPr>
        <b/>
        <sz val="8"/>
        <rFont val="Calibri"/>
        <family val="2"/>
      </rPr>
      <t>JANEIRO A MARÇO</t>
    </r>
  </si>
  <si>
    <t>TOMADA DE PREÇOS Licitação: 1/2020</t>
  </si>
  <si>
    <t>PRESTAÇÃO DE SERVIÇO DE MANUTENÇÃO E RECUPERAÇÃO AMBIENTAL DO ATERRO CONTROLADO DA MURIBECA</t>
  </si>
  <si>
    <t>6-013/20</t>
  </si>
  <si>
    <t>CONCORRÊNCIA / nº 19/2019</t>
  </si>
  <si>
    <t>SERVIÇO DE MANUTENÇÃO DO SISTEMA DE MICRODRENAGEM DE AGUAS PLUVIAIS EM TODAS AS RPAS DA CIDADE DO RECIFE - 04 E 05</t>
  </si>
  <si>
    <t>6-015/20</t>
  </si>
  <si>
    <t>SERVIÇO DE MANUTENÇÃO DO SISTEMA DE MICRODRENAGEM DE AGUAS PLUVIAIS EM TODAS AS RPAS DO RECIFE - RPA 06</t>
  </si>
  <si>
    <t>6-016/20</t>
  </si>
  <si>
    <t>MONITORAMENTO AMBIENTAL DO ATERRO CONTROLADO DA MURIBECA E SERVIÇOS DE CONSULTORIA TECNOLÓGICA PARA TRATAMENTO DE RESÍDUOS SÓLIDOS URBANOS</t>
  </si>
  <si>
    <t>6-018/20</t>
  </si>
  <si>
    <t>DISP 3/2020</t>
  </si>
  <si>
    <t>10.698.641/0001-15</t>
  </si>
  <si>
    <t>CONSTRUTORA MASTER EIRELI ME</t>
  </si>
  <si>
    <t>CONCORRÊNCIA Licitação: 1/2020</t>
  </si>
  <si>
    <t>SERVIÇOS DE MANUTENÇÃO CORRETIVA DE VIAS NÃO PAVIMENTADAS DO SISTEMA VIÁRIO DA CIDADE DO RECIFE, COMPOSTOS BASICAMENTE POR SERVIÇOS DE TERRAPLENAGEM.</t>
  </si>
  <si>
    <t>6-024/20</t>
  </si>
  <si>
    <t>CONCORRÊNCIA Licitação: 3/2020</t>
  </si>
  <si>
    <t>SERVIÇOS DE IMPLANTAÇÃO/REQUALIFICAÇÃO DA REDE DE DRENAGEM E PAVIMENTAÇÃO DAS RUAS DAVID NASSER E SENADOR THOMAZ LOBO</t>
  </si>
  <si>
    <t>6-027/20</t>
  </si>
  <si>
    <t>CONCORRÊNCIA Licitação: 2/2020</t>
  </si>
  <si>
    <t>CONTRATAÇÃO DOS SERVIÇOS DE MANUTENÇÃO CORRETIVA DO SISTEMA VIÁRIO DO RECIFE RPA 01</t>
  </si>
  <si>
    <t>INSTTALE ENGENHARIA LTDA</t>
  </si>
  <si>
    <t>6-029/20</t>
  </si>
  <si>
    <t>CONTRATAÇÃO DOS SERVIÇOS DE MANUTENÇÃO CORRETIVA DO SISTEMA VIÁRIO DO RECIFE RPA 02 E 03</t>
  </si>
  <si>
    <t>6-030/20</t>
  </si>
  <si>
    <t>CONTRATAÇÃO DOS SERVIÇOS DE MANUTENÇÃO CORRETIVA DO SISTEMA VIÁRIO DO RECIFE RPA 04 E 05</t>
  </si>
  <si>
    <t>6-031/20</t>
  </si>
  <si>
    <t>CONTRATAÇÃO DOS SERVIÇOS DE MANUTENÇÃO CORRETIVA DO SISTEMA VIÁRIO DO RECIFE RPA 06</t>
  </si>
  <si>
    <t>6-032/20</t>
  </si>
  <si>
    <t>495721/2018 e 535346/2020</t>
  </si>
  <si>
    <t>535346/2020</t>
  </si>
  <si>
    <t>6-043/20</t>
  </si>
  <si>
    <t>TOMADA DE PREÇOS / 005/2020</t>
  </si>
  <si>
    <t>CONTRATACAO DE DE EMPRESA DE ENGENHARIA PARA EXECUCAO DE SERVICOS DE MANUTENCAO DE FONTES. COM BOMBAS CENTRIFUGAS DE 5 A 25 CV. ILUMINACAO ESPECIAL E OPERACAO AUTOMATIZADA POR QUADRO DE COMANDO INTERRUPTO HORARIO</t>
  </si>
  <si>
    <t>6-044/20</t>
  </si>
  <si>
    <t>CONTRATAÇÃO DE EMPRESA DE ENGENHARIA ESPECIALIZADA EM ILUMINAÇÃO PÚBLICA, PARA EXECUÇÃO DOS SERVIÇOS DE MANUTENÇÃO CONTÍNUA, CORRETIVA E PREVENTIVA, DO SISTEMA DE ILUMINAÇÃO PÚBLICA ESPECIAL DA CIDADE DO RECIFE, EM POSTES ACIMA DE 12 METROS DE ALTURA</t>
  </si>
  <si>
    <t>CONCORRÊNCIA / nº 006/2020</t>
  </si>
  <si>
    <t>6-048/20</t>
  </si>
  <si>
    <t>SERVIÇOS DE MANUTENÇÃO DO SISTEMA DE MICRODRENAGEM DAS AGUAS PLUVIAIS DO MUNICIPIO DO RECIFE RPA 1</t>
  </si>
  <si>
    <t>CONCORRÊNCIA Licitação: 19/2019</t>
  </si>
  <si>
    <t>TOMADA DE PREÇOS /nº 07/2016</t>
  </si>
  <si>
    <t>EXERCÍCIO: 2021</t>
  </si>
  <si>
    <t>PERÍODO REFERENCIAL: julho a setembro</t>
  </si>
  <si>
    <t>PERÍODO REFERENCIAL: outubro a dezembro</t>
  </si>
  <si>
    <t>NORCONSULT PROJETOS E CONSULTORIA LTDA</t>
  </si>
  <si>
    <t>CONCORRÊNCIA / nº 12/2020</t>
  </si>
  <si>
    <t>CONTRATACAO DOS SERVICOS DE LIMPEZA E MANUTENCAO DO SISTEMA DE MICRODRENAGEM DE AGUAS PLUVIAIS DO MUNICIPIO DO RECIFE RPA 02 E 03</t>
  </si>
  <si>
    <t>6-002/21</t>
  </si>
  <si>
    <t>CONCORRÊNCIA / nº 14/2020</t>
  </si>
  <si>
    <t>CONTRATACAO DE EMPRESA DE ENGENHARIA PARA REALIZACAO DE MANUTENCAO PREVENTIVA E CORRETIVA DO SISTEMA DE ILUMINACAO PUBLICA CONVENCIONAL DAS RPAS DO MUNICIPIO DO RECIFE. EM POSTES COM ATE 12 METROS DE ALTURA LOTE I. RPA 1 E 6</t>
  </si>
  <si>
    <t>6-004/21</t>
  </si>
  <si>
    <t>CONTRATACAO DE EMPRESA DE ENGENHARIA PARA REALIZACAO DE MANUTENCAO PREVENTIVA E CORRETIVA DO SISTEMA DE ILUMINACAO PUBLICA CONVENCIONAL DAS RPAS DO MUNICIPIO DO RECIFE. EM POSTES COM ATE 12 METROS DE ALTURA LOTE II RPA 2 E 3</t>
  </si>
  <si>
    <t>6-005/21</t>
  </si>
  <si>
    <t>CONTRATAÇÃO DE EMPRESA DE ENGENHARIA PARA REALIZAÇÃO DE MANUTENÇÃO PREVENTIVA E CORRETIVA DO SISTEMA DE ILUMINAÇÃO PUBLICA CONVENCIONAL DAS RPAS DO RECIFE LOTE III RPA  4 E 5</t>
  </si>
  <si>
    <t>6-006/21</t>
  </si>
  <si>
    <t>CONCORRÊNCIA / nº 17/2020</t>
  </si>
  <si>
    <t>CONTRATACAO DOS SERVICOS DE MANUTENCAO E RECUPERACAO DA PAVIMENTACAO NAS VIAS EM PARALELEPIPEDOS CONSTITUINTES DO SISTEMA VIARIO DA CIDADE DO RECIFE. LOTE I - RPA 1</t>
  </si>
  <si>
    <t>6-007/21</t>
  </si>
  <si>
    <t>CONTRATACAO DOS SERVICOS DE MANUTENCAO E RECUPERACAO DA PAVIMENTACAO NAS VIAS EM PARALELEPIPEDOS CONSTITUINTES DO SISTEMA VIARIO DA CIDADE DO RECIFE. LOTES II - RPA 2 E 3</t>
  </si>
  <si>
    <t>6-008/21</t>
  </si>
  <si>
    <t>CONTRATACAO DOS SERVICOS DE MANUTENCAO E RECUPERACAO DA PAVIMENTACAO NAS VIAS EM PARALELEPIPEDOS CONSTITUINTES DO SISTEMA VIARIO DA CIDADE DO RECIFE. LOTES III - RPA 4 E 5</t>
  </si>
  <si>
    <t>6-009/21</t>
  </si>
  <si>
    <t>CONTRATACAO DOS SERVICOS DE MANUTENCAO E RECUPERACAO DA PAVIMENTACAO NAS VIAS EM PARALELEPIPEDOS CONSTITUINTES DO SISTEMA VIARIO DA CIDADE DO RECIFE. LOTES IV. - RPA 06</t>
  </si>
  <si>
    <t>6-010/21</t>
  </si>
  <si>
    <t>encerrado</t>
  </si>
  <si>
    <t>02/2018 , 16/2019 e 01/2020</t>
  </si>
  <si>
    <t>PERÍODO REFERENCIAL: ABRIL A JUNHO</t>
  </si>
  <si>
    <t>Pregão Eletrônico/ nº 017/2020</t>
  </si>
  <si>
    <t>SERVIÇO DE MANUTENÇÃO E/OU INSTALAÇÃO DE BRINQUEDOS DE MADEIRA, INSTALADOS EM PARQUES E PRAÇAS DA CIDADE DO RECIFE</t>
  </si>
  <si>
    <t>6-003/21</t>
  </si>
  <si>
    <t>concorrência /nº 17/2020</t>
  </si>
  <si>
    <t>INEX 9/2021</t>
  </si>
  <si>
    <t>CONTRATACAO DOS SERVICOS DE MANUTENCAO PREVENTIVA DO SISTEMA DE MACRODRENAGEM PELO PROCESSO DE BARRAGEM MOVEL EM DIVERSOS CANAIS DA CIDADE DO RECIFE</t>
  </si>
  <si>
    <t>03.366.083/0001-25</t>
  </si>
  <si>
    <t>HIDROMAX CONSTRUÇOES LTDA</t>
  </si>
  <si>
    <t>6-012/21</t>
  </si>
  <si>
    <t>concorrência /nº 001/2021</t>
  </si>
  <si>
    <t>CONTRATACAO DE EMPRESA DE ENGENHARIA ESPECIALIZADA. PARA A OPERACAO. AUTOMACAO E MANUTENCAO ELETRICA E MECANICA DAS ESTACOES DE BOMBEAMENTO E COMPORTAS DA CIDADE DO RECIFE</t>
  </si>
  <si>
    <t>6-014/21</t>
  </si>
  <si>
    <t>SERVIÇOS DE RECUPERAÇÃO DE VIAS URBANAS PAVIMENTAS EM CONCRETO DE CIMENTO PORTLAND EM TRECHOS DE VIAS NAS RPA'S 1 A 6</t>
  </si>
  <si>
    <t>6-015/21</t>
  </si>
  <si>
    <t>00.338.885/0001-33</t>
  </si>
  <si>
    <t>NOVATEC CONSTRUCOES E EMPREENDIMENTOS LTDA</t>
  </si>
  <si>
    <t>6-018/21</t>
  </si>
  <si>
    <t>RECUPERAÇÃO DE PASSEIOS COM IMPLANTAÇÃO DE ACESSIBILIDADE EM VARIAS VIAS E LOCAIS DO RECIFE</t>
  </si>
  <si>
    <t>03.608.944/0001-34</t>
  </si>
  <si>
    <t>JEPAC CONSTRUCOES LTDA</t>
  </si>
  <si>
    <t>6-021/21</t>
  </si>
  <si>
    <t>CONCORRÊNCIA Licitação: 2/2021</t>
  </si>
  <si>
    <t>RECUPERACAO DE ESCADARIAS. MUROS E CORRIMOES LOCALIZADAS NAS DIVERSAS NAS DIVERSAS REGIAO POLITICA ADMINISTRATIVA RPAS DA CIDADE DO RECIFE. DIVIDIDAS EM EM LOTES. LOTE I RPA 2; LOTE II RPA 3 E LOTE III RPA 4.5.6</t>
  </si>
  <si>
    <t>6-022/21</t>
  </si>
  <si>
    <t>6-023/21</t>
  </si>
  <si>
    <t>6-024/21</t>
  </si>
  <si>
    <t>CONCORRÊNCIA Licitação: 18/2020</t>
  </si>
  <si>
    <t>CONTRATACAO DE SERVICOS DE MANUTENCAO PREVENTIVA IMPLANTACAO. REQUALIFICACAO E OU RECAPEAMENTO DE VIAS EM CONCRETO BETUMINOSO USINADO A QUENTE CBUQ DO SISTEMA VIARIO DA CIDADE DO RECIFE LOTE I RPA 1</t>
  </si>
  <si>
    <t>6-025/21</t>
  </si>
  <si>
    <t>CONTRATACAO DE SERVICOS DE MANUTENCAO PREVENTIVA IMPLANTACAO. REQUALIFICACAO E OU RECAPEAMENTO DE VIAS EM CONCRETO BETUMINOSO USINADO A QUENTE CBUQ DO SISTEMA VIARIO DA CIDADE DO RECIFE LOTE II RPA 2 E 3</t>
  </si>
  <si>
    <t>6-026/21</t>
  </si>
  <si>
    <t>CONTRATACAO DE SERVICOS DE MANUTENCAO PREVENTIVA IMPLANTACAO. REQUALIFICACAO E OU RECAPEAMENTO DE VIAS EM CONCRETO BETUMINOSO USINADO A QUENTE CBUQ DO SISTEMA VIARIO DA CIDADE DO RECIFE LOTES III RPA 4 E 5</t>
  </si>
  <si>
    <t>6-027/21</t>
  </si>
  <si>
    <t>6-028/21</t>
  </si>
  <si>
    <t>6-029/21</t>
  </si>
  <si>
    <t>CONTRATACAO DE SERVICOS DE MANUTENCAO PREVENTIVA IMPLANTACAO. REQUALIFICACAO E OU RECAPEAMENTO DE VIAS EM CONCRETO BETUMINOSO USINADO A QUENTE CBUQ DO SISTEMA VIARIO DA CIDADE DO RECIFE LOTE IV RPA 6</t>
  </si>
  <si>
    <t>CONCORRÊNCIA Licitação: 16/2020</t>
  </si>
  <si>
    <t>EXECUÇÃO DE SERVIÇOS DE REQUALIFICAÇÃO MANUTENÇÃO PREVENTIVA E CORRETIVA DE PRAÇAS, PARQUES E ÁREAS VERDES CANTEIROS DE AVENIDAS E REFÚGIOS DA CIDADE DO RECIFE RPAS 1,2 E 3</t>
  </si>
  <si>
    <t>EXECUÇÃO DE SERVIÇOS DE REQUALIFICAÇÃO MANUTENÇÃO PREVENTIVA E CORRETIVA DE PRAÇAS, PARQUES E ÁREAS VERDES CANTEIROS DE AVENIDAS E REFÚGIOS DA CIDADE DO RECIFE RPAS 4,5 E 6</t>
  </si>
  <si>
    <t>532561/2020</t>
  </si>
  <si>
    <t>concorrência /nº 015/2020</t>
  </si>
  <si>
    <t>concorrência /nº 004/2021</t>
  </si>
  <si>
    <t>CONTRATAÇÃO DE EMPRESA DE DE ENGENHARIA ESPECIALIZADA EM ILUMINAÇÃO PUBLICA. PARA INSTALAÇÃO DE LUMINÁRIAS/PROJETORES COM TECNOLOGIA LED NA CIDADE DO RECIFE/PE COM FORNECIMENTO DE ACESSÓRIOS</t>
  </si>
  <si>
    <t>Tomada de Preço Licitação: 003/2021</t>
  </si>
  <si>
    <t>6-037/21</t>
  </si>
  <si>
    <t>Tomada de Preço Licitação: 004/2021</t>
  </si>
  <si>
    <t>CONTRATACAO DE EMPRESA DE ENGENHARIA PARA PRESTACAO DOS SERVICOS DE MANUTENCAO DO ENROCAMENTO DE PEDRAS DA PROTECAO EXISTENTE NA ORLA DE BOA VIAGEM</t>
  </si>
  <si>
    <t>70.086.111/0001-48</t>
  </si>
  <si>
    <t>COASTAL - CONSTRUÇÕES E SOLUÇÕES TÉCNICAS AMBIENTAIS EIRELI</t>
  </si>
  <si>
    <t>6-039/21</t>
  </si>
  <si>
    <t>6-042/21</t>
  </si>
  <si>
    <t>EXECUÇÃO DE SERVIÇOS DE RECUPERAÇÃO DE PASSARELAS, PONTILHÕES E ELEMENTOS LIMITADORES DE ESPAÇO OU PROTEÇÃO NAS DIVERSAS RPAS DA CIDADE DO RECIFE</t>
  </si>
  <si>
    <t>DISP 004/2021</t>
  </si>
  <si>
    <t>CONTRATACAO DE SERVICOS EM CARATER EMERGENCIAL DE COLETA E LIMPEZA URBANA - LOTE 2</t>
  </si>
  <si>
    <t>6-044/21</t>
  </si>
  <si>
    <t>Convite  Licitação:  001/2021</t>
  </si>
  <si>
    <t>DISP 003/2021</t>
  </si>
  <si>
    <t>CONTRATACAO DE SERVICO. EM CARATER EMERGENCIAL. DE COLETA E LIMPEZA URBANA LOTE 1</t>
  </si>
  <si>
    <t>6-048/21</t>
  </si>
  <si>
    <t>XXXXXXXXXXXXXXX - CPF XXXXXXXXXXXXX</t>
  </si>
  <si>
    <t>Concorrência Licitação: 009/2021</t>
  </si>
  <si>
    <t>1-002/21</t>
  </si>
  <si>
    <t xml:space="preserve">BM reajuste, 37,38,39 = 8.874,40 sem empenho </t>
  </si>
  <si>
    <t>A1MC PROJETOS LTDA</t>
  </si>
  <si>
    <t>18.968.880/0001-50</t>
  </si>
  <si>
    <t>6-045/21</t>
  </si>
  <si>
    <t>Pregão Eletrônico Licitação: 031/2021</t>
  </si>
  <si>
    <t>Pregão Eletrônico Licitação: 032/2021</t>
  </si>
  <si>
    <t>6-056/21</t>
  </si>
  <si>
    <t>08.963.533/0001-80</t>
  </si>
  <si>
    <t>FAR COMERCIO E SERVIÇOS PAISAGISTICOS LTDA</t>
  </si>
  <si>
    <t>6-057/21</t>
  </si>
  <si>
    <t>CONTRATAÇÃO DE EMPRESA ESPECIALIZADA NA PRESTAÇÃO DE SERVIÇOS CONTÍNUOS DE PAISAGISMO E CONSERVAÇÃO PREVENTIVA E CORRETIVA DE PARQUES, PRAÇAS, JARDINS E ÁREAS VERDES PÚBLICOS NA CIDADE DO RECIFE - LOTE 02</t>
  </si>
  <si>
    <t>CONTRATAÇÃO DE EMPRESA ESPECIALIZADA NA PRESTAÇÃO DE SERVIÇOS CONTÍNUOS DE PAISAGISMO E CONSERVAÇÃO PREVENTIVA E CORRETIVA DE PARQUES, PRAÇAS, JARDINS E ÁREAS VERDES PÚBLICAS NA CIDADE DO RECIFE - LOTE 01</t>
  </si>
  <si>
    <t>CONTRATAÇÃO DE EMPRESA DE ENGENHARIA NA ÁREA DE GEOTÉCNIA PARA ENSAIO DE PENETRAÇÃO DE UM CONE ESTÁTICO DE AÇO COM MEDIDAS DE PRESSÕES NEUTRAS CPTU CONFORME PROCEDIMENTOS DA NORMA ASTM D 5778 95</t>
  </si>
  <si>
    <t>BM 134, 136 e 137</t>
  </si>
  <si>
    <t>bm 29 - 97.853,63</t>
  </si>
  <si>
    <t>CONTRATAÇÃO DE SERVIÇOS DE RECUPERAÇÃO DE ESTRUTURA EM MADEIRA DO SEGUNDO JARDIM EM BOA VIAGEM</t>
  </si>
  <si>
    <t xml:space="preserve">AGC CONSTRUTORA E EMPREENDIMENTOS LTDA      </t>
  </si>
  <si>
    <t>535346/2020 e 599406/2021</t>
  </si>
  <si>
    <t>535346/2020  e 599406/2021 e 01/2020</t>
  </si>
  <si>
    <t>VALOR REAJUSTE</t>
  </si>
  <si>
    <t>EXERCÍCIO: 2022</t>
  </si>
  <si>
    <t>CONCORRÊNCIA / nº 014/2021</t>
  </si>
  <si>
    <t>CONTRATAÇÃO DE EMPRESA DE ENGENHARIA, ESPECIALIZADA EM ILUMINAÇÃO PÚBLICA, PARA FORNECIMENTO E INSTALAÇÃO DE LUMINÁRIAS COM TECNOLOGIA LED RGB E REDE ELÉTRICA, PARA ILUMINAÇÃO CÊNICA DO PARQUE DONA LINDU, BOA VIAGEM</t>
  </si>
  <si>
    <t>6-001/22</t>
  </si>
  <si>
    <t>CONCORRÊNCIA / nº 012/2021</t>
  </si>
  <si>
    <t>CONTRATAÇÃO DE EMPRESA DE ENGENHARIA, ESPECIALIZADA EM ILUMINAÇÃO PÚBLICA, PARA SERVIÇOS DE APOIO TÉCNICO PARA CIDADE DO RECIFE.</t>
  </si>
  <si>
    <t>6-002/22</t>
  </si>
  <si>
    <t>CONCORRÊNCIA / nº 008/2021</t>
  </si>
  <si>
    <t>CONTRATAÇÃO DE EMPRESA DE ENGENHARIA, ESPECIALIZADA EM ILUMINAÇÃO PÚBLICA, PARA EXECUÇÃO DA MANUTENÇÃO, PREVENTIVA E CORRETIVA, DO SISTEMA DE ILUMINAÇÃO CÊNICA DA CIDADE DO RECIFE</t>
  </si>
  <si>
    <t>6-003/22</t>
  </si>
  <si>
    <t>6-004/22</t>
  </si>
  <si>
    <t>Pregão Eletrônico Licitação: 037/2021</t>
  </si>
  <si>
    <t>SERVIÇOS DE INFRAESTURURA PARA IMPLANTAÇÃO DO MEMORIAL JUDAICO EM HONRA AO POVO JUDEU, NA PRAÇA TIRADENTES BAIRRO DO RECIFE, RECIFE - PE</t>
  </si>
  <si>
    <t>22.257.930/0001-68</t>
  </si>
  <si>
    <t>G O DOS SANTOS CONSTRUCOES EIRELI</t>
  </si>
  <si>
    <t>cadastrado</t>
  </si>
  <si>
    <t>Tomada de Preço Licitação: 009/2021</t>
  </si>
  <si>
    <t>SERVIÇOS DE REFORMA DE DIVERSOS PRÉDIOS PÚBLICOS MANTIDOS PELA EMLURB: LOTE 01 DLU E GOFIS DA RPA 01 E RPA 06, LOTE 02 DIVERSOS BANHEIROS PÚBLICOS, SEDE DA EMLURB E LABORATÓRIO. LOCALIZADOS EM DIVERSOS BAIRROS DA CIDADE DO RECIFE PE</t>
  </si>
  <si>
    <t>6-005/22</t>
  </si>
  <si>
    <t>30.700.985/0001-29</t>
  </si>
  <si>
    <t>CONSTRUTORA MANASSU LTDA</t>
  </si>
  <si>
    <t>6-006/22</t>
  </si>
  <si>
    <t>CREDENCIAMENTO Licitação: 001/2021</t>
  </si>
  <si>
    <t>CREDENCIAMENTO DE EMPRESA ESPECIALIZADA EM ENGENHARIA SANITÁRIA PARA RECOLHIMENTO, TRATAMENTO E DISPOSIÇÃO FINAL AMBIENTALMENTE CORRETO DE LÍQUIDOS ORIUNDOS DO ATERRO DESATIVADO DA MURIBECA SOB RESPONSABILIDADE DA EMLURB</t>
  </si>
  <si>
    <t>6-007/22</t>
  </si>
  <si>
    <t>Tomada de Preço Licitação: 011/2021</t>
  </si>
  <si>
    <t>CONTRATAÇÃO DE EMPRESA DE ENGENHARIA, ESPECIALIZADA EM ILUMINAÇÃO PÚBLICA, PARA FORNECIMENTO DE LUMINÁRIAS COM TECNOLOGIA LED RGB E REDE ELÉTRICA, PARA ILUMINAÇÃO CÊNICA DA PASSARELA JOANA BEZERRA.</t>
  </si>
  <si>
    <t>6-008/22</t>
  </si>
  <si>
    <t>CONCORRÊNCIA / nº 017/2021</t>
  </si>
  <si>
    <t>IMPLANTAÇÃO DE TRECHO DE DRENAGEM DA RUA VINTE E UM DE ABRIL COM A RUA LÍDIA GUIMARÃES, EM AFOGADOS RECIE-PE</t>
  </si>
  <si>
    <t>10.893.105/0001-70</t>
  </si>
  <si>
    <t>AGILIS CONSTRUTORA LTDA</t>
  </si>
  <si>
    <t>6-009/22</t>
  </si>
  <si>
    <t>CONCORRÊNCIA / nº 018/2021</t>
  </si>
  <si>
    <t>SERVIÇOS DE REQUALIFICAÇÃO DE PAVIMENTAÇÃO, DRENAGEM, ACESSIBILIDADE E SINALIZAÇÃO DA RUA CARLOS PEREIRA FALÇÃO TRECHO ENTRE AS RUAS VISCONDE DE JEQUITINHONHA E TENENTE DOMINGOS DE BRITO LOCALIZADA NO BAIRRO DE BOA VIAGEM NA CIDADE DO RECIFE - PE</t>
  </si>
  <si>
    <t>6-012/22</t>
  </si>
  <si>
    <t>Pregão Eletrônico Licitação: 002/2022</t>
  </si>
  <si>
    <t>CONTRATAÇÃO DE PESSOA S JURÍDICA S ESPECIALIZADA EM ENGENHARIA SANITÁRIA PARA RECEBIMENTO, TRATAMENTO E DISPOSIÇÃO FINAL DE RESÍDUOS DE CONSTRUÇÃO RCC CLASSE A INERTE COLETADOS PELA EMLURB NO MUNICÍPIO DO RECIFE</t>
  </si>
  <si>
    <t>10.877.732/0001-18</t>
  </si>
  <si>
    <t>6-013/22</t>
  </si>
  <si>
    <t>CONTRATAÇÃO DE EMPRESA ESPCIALIZADA NO RAMO DE ENGENHARIA PARA EXECUÇÃO DOS SERVIÇOS DE RECUPERAÇÃO DE REDE DE DRENAGEM E PAVIMENTAÇÃO DA RUA ACAJUTIBA, NO TRECHO ENTRE AS RUAS GÁLIA E PINTO FERREIRA, LOCALIZADAS NO BAIRRO DE BONGI, RECIFE - PE</t>
  </si>
  <si>
    <t>6-014/22</t>
  </si>
  <si>
    <t>6-015/22</t>
  </si>
  <si>
    <t>6-016/22</t>
  </si>
  <si>
    <t>6-017/22</t>
  </si>
  <si>
    <t>CONCORRÊNCIA / nº 001/2021</t>
  </si>
  <si>
    <t>CONTRATAÇÃO DE EMPRESA SANITÁRIA ESPECIALIZADA PARA A EXECUÇÃO DOS SERVIÇOS DE COLETA E LIMPEZA URBANA NO MUNICÍPIO DO RECIFE. LOTE 1- A</t>
  </si>
  <si>
    <t>CONTRATAÇÃO DE EMPRESA SANITÁRIA ESPECIALIZADA PARA A EXECUÇÃO DOS SERVIÇOS DE COLETA E LIMPEZA URBANA NO MUNICÍPIO DO RECIFE. LOTE 1-B</t>
  </si>
  <si>
    <t>CONTRATAÇÃO DE EMPRESA SANITÁRIA ESPECIALIZADA PARA A EXECUÇÃO DOS SERVIÇOS DE COLETA E LIMPEZA URBANA NO MUNICÍPIO DO RECIFE. LOTE 2- A</t>
  </si>
  <si>
    <t>CONTRATAÇÃO DE EMPRESA SANITÁRIA ESPECIALIZADA PARA A EXECUÇÃO DOS SERVIÇOS DE COLETA E LIMPEZA URBANA NO MUNICÍPIO DO RECIFE. LOTE 2-B</t>
  </si>
  <si>
    <t>6-019/22</t>
  </si>
  <si>
    <t>CONCORRÊNCIA / nº 021/2021</t>
  </si>
  <si>
    <t>CONTRATAÇÃO DE EMPRESA DE ENGENHARIA, ESPECIALIZADA EM ILUMINAÇÃO PÚBLICA, PARA FORNECIMENTO E INSTALAÇÃO DE LUMINÁRIAS RGB COM TECNOLOGIA LED E REDE ELÉTRICA, PARA ILUMINAÇÃO CÊNICA, DO TEATRO SANTA IZABEL BAIRRO SANTO ANTÔNIO</t>
  </si>
  <si>
    <t>6-033/21</t>
  </si>
  <si>
    <t>PREGÃO ELETRÔNICO Licitação: 21/2021</t>
  </si>
  <si>
    <t>SERVIÇOS DE REFORMA NAS DEPENDÊNCIAS DO CENTRO DE COMPOSTAGEM, LOCALIZADO NO CURADO - PE</t>
  </si>
  <si>
    <t>CONCORRÊNCIA Licitação: 006/2021</t>
  </si>
  <si>
    <t>6-035/21</t>
  </si>
  <si>
    <t>02.724.778/0001-79</t>
  </si>
  <si>
    <t>UNITERRA - UNIAO TERRAPLENAGEM E CONSTRUCOES LTDA</t>
  </si>
  <si>
    <t>6-041/21</t>
  </si>
  <si>
    <t>CONTRATAÇÃO DE EMPRESA DE ENGENHARIA, PARA EXECUÇÃO DOS SERVIÇOS DE IMPLANTAÇÃO DA REDE DE DRENAGEM, PAVIMENTAÇÃO, ACESSIBILIDADE E SINALIZAÇÃO DAS RUAS DESEMBARGADOR VIRGÍLIO DE SA PEREIRA E MATHUZALEM WANDERLEY, LOCALIZADAS NO BAIRRO DO CORDEIRO. LOTE 01</t>
  </si>
  <si>
    <t>CONTRATAÇÃO DE EMPRESA DE ENGENHARIA, PARA EXECUÇÃO DOS SERVIÇOS DE IMPLANTAÇÃO DA REDE DE DRENAGEM, PAVIMENTAÇÃO, ACESSIBILIDADE E SINALIZAÇÃO DAS RUAS DESEMBARGADOR VIRGÍLIO DE SA PEREIRA E MATHUZALEM WANDERLEY, LOCALIZADAS NO BAIRRO DO CORDEIRO. LOTE 02</t>
  </si>
  <si>
    <t>6-058/21</t>
  </si>
  <si>
    <t>CONCORRÊNCIA Licitação: 15/2021</t>
  </si>
  <si>
    <t>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t>
  </si>
  <si>
    <t>12.285.441/0001-66</t>
  </si>
  <si>
    <t>TPF ENGENHARIA LTDA</t>
  </si>
  <si>
    <t>6-060/21</t>
  </si>
  <si>
    <t>TOMADA DE PREÇOS Licitação: 007/2021</t>
  </si>
  <si>
    <t>CONTRATAÇÃO DE EMPRESA ESPECIALIZADA NO RAMO DE ENGENHARIA PARA EXECUÇÃO DOS SERVIÇOS DE IMPLANTAÇÃO DE PAVIMENTAÇÃO, DRENAGEM, ACESSIBILIDADE E SINALIZAÇÃO DAS RUAS BENJAMIN FONSECA - LOTE 1.  JOSÉ MOLITERNO - LOTE 2, SITUADAS NA CIDADE DO RECIFE</t>
  </si>
  <si>
    <t>6-061/21</t>
  </si>
  <si>
    <t>6-065/21</t>
  </si>
  <si>
    <t>TOMADA DE PREÇOS Licitação: 006/2021</t>
  </si>
  <si>
    <t>CONTRATAÇÃO DE EMPRESA DE ENGENHARIA, ESPECIALIZADA EM ILUMINAÇÃO PÚBLICA, PARA INSTALAÇÃO DE LUMINÁRIAS RGB COM TECNOLOGIA LED E REDE ELÉTRICA,  PARA ILUMINAÇÃO CÊNICA DA PRAÇA SOLANGE PINTO</t>
  </si>
  <si>
    <t>TOMADA DE PREÇOS Licitação: 005/2021</t>
  </si>
  <si>
    <t>CONTRATAÇÃO DE EMPRESA DE ENGENHARIA, ESPECIALIZADA EM ILUMINAÇÃO PÚBLICA, PARA INSTALAÇÃO DE LUMINÁRIAS RGB COM TECNOLOGIA LED E REDE ELÉTRICA, PARA ILUMINAÇÃO CÊNICA DA PONTE DA BOA VISTA, NO BAIRRO DA BOA VISTA</t>
  </si>
  <si>
    <t>32.185.141/0001-12</t>
  </si>
  <si>
    <t>CASTRO &amp; ROCHA LTDA</t>
  </si>
  <si>
    <t>6-066/21</t>
  </si>
  <si>
    <t>PREGÃO ELETRÔNICO Licitação: 26/2021</t>
  </si>
  <si>
    <t>CONTRATAÇÃO DE EMPRESA ESPECIALIZADA EM ENGENHARIA SANITÁRIA PARA A EXECUÇÃO DOS SERVIÇOS DE COLETA E LIMPEZA URBANA NO MUNICÍPIO DO RECIFE</t>
  </si>
  <si>
    <t>6-053/21</t>
  </si>
  <si>
    <t>Emenda Parlamentar Federal</t>
  </si>
  <si>
    <t xml:space="preserve"> 892570/2019</t>
  </si>
  <si>
    <t>884436/2019</t>
  </si>
  <si>
    <t>899753/2020</t>
  </si>
  <si>
    <t>Emenda Parlamentar Federal - TRANSFERÊNCIA  ESPECIAL - FELIPE CARRERA</t>
  </si>
  <si>
    <t>6-059/21</t>
  </si>
  <si>
    <t>CONCORRÊNCIA Licitação: 010/2021</t>
  </si>
  <si>
    <t>CONTRATACAÇÃO DE EMPRESA ESPECIALIZADA NO RAMO DE ENGENHARIA PARA EXECUÇÃO DOS SERVIÇOS DE RECUPERAÇÃO DA REDE DE DRENAGEM NO ENTORNO DA PRAÇA MIGUEL DE CERVANTES, ILHA DO LEITE - RECIFE PE</t>
  </si>
  <si>
    <t>07.654.042/0001-95</t>
  </si>
  <si>
    <t>ALTA SERVIÇOS DE ENGENHARIA LTDA - EPP</t>
  </si>
  <si>
    <t>CONCORRÊNCIA Licitação: 016/2021</t>
  </si>
  <si>
    <t>SERVIÇOS DE RECUPERAÇÃO ESTRUTURAL DA PONTE RODOVIÁRIA, DENOMINADA ANTIGA PONTE GIRATÓRIA, QUE LIGA O BAIRRO DE SÃO JOSÉ AO BAIRRO DO RECIFE NA CIDADE DO RECIFE - PE</t>
  </si>
  <si>
    <t>00.507.949/0001-82</t>
  </si>
  <si>
    <t>JATOBETON ENGENHARIA LTDA</t>
  </si>
  <si>
    <t>6-063/21</t>
  </si>
  <si>
    <t>CONCORRÊNCIA Licitação: 011/2021</t>
  </si>
  <si>
    <t>CONTRATAÇÃO DE SERVIÇOS DE APOIO TÉCNICO AO MONITORAMENTO DAS AÇÕES DE MANUTENÇÃO DO SISTEMA VIÁRIO DA CIDADE DO RECIFE</t>
  </si>
  <si>
    <t>41.075.755/0001-32</t>
  </si>
  <si>
    <t>6-055/21</t>
  </si>
  <si>
    <t>6-064/21</t>
  </si>
  <si>
    <t>CONCORRÊNCIA / Nº 013/2021</t>
  </si>
  <si>
    <t>CONTRATAÇÃO DE EMPRESA DE PRODUÇÃO DE ARTES E ILUMINAÇÃO CÊNICA PARA EXECUÇÃO DOS SERVIÇOS DE VÍDEO MAPPING E PROJEÇÃO HOLOGRÁFICA EM CORTINA D`ÁGUA NO RIO CAPIBARIBE</t>
  </si>
  <si>
    <t>20.165.281/0001-40</t>
  </si>
  <si>
    <t>TNP PRODUCOES DE EVENTOS LTDA</t>
  </si>
  <si>
    <t>6-062/21</t>
  </si>
  <si>
    <t>TOMADA DE PREÇOS Licitação: 008/2021</t>
  </si>
  <si>
    <t>11.481.173/0001-95</t>
  </si>
  <si>
    <t>ETNA ENGENHARIA E TERRAPLANAGEM NACIONAL LTDA</t>
  </si>
  <si>
    <t>6-040/21</t>
  </si>
  <si>
    <t>CONCORRÊNCIA / Nº 005/2021</t>
  </si>
  <si>
    <t>6-020/22</t>
  </si>
  <si>
    <t>PREGÃO ELETRÔNICO Licitação: 006/2022</t>
  </si>
  <si>
    <t>6-021/22</t>
  </si>
  <si>
    <t>PREGÃO ELETRÔNICO Licitação: 014/2022</t>
  </si>
  <si>
    <t>6-022/22</t>
  </si>
  <si>
    <t>TOMADA DE PREÇOS Licitação: 001/2022</t>
  </si>
  <si>
    <t>17.772.572/0001-91</t>
  </si>
  <si>
    <t>CARVALHO PONTES ENGENHARIA LTDA - EPP</t>
  </si>
  <si>
    <t>Cadastrado</t>
  </si>
  <si>
    <t>6-023/22</t>
  </si>
  <si>
    <t>TOMADA DE PREÇOS Licitação: 003/2022</t>
  </si>
  <si>
    <t>6-024/22</t>
  </si>
  <si>
    <t>PREGÃO ELETRÔNICO Licitação: 010/2022</t>
  </si>
  <si>
    <t>6-025/22</t>
  </si>
  <si>
    <t>CONCORRÊNCIA Licitação: 003/2022</t>
  </si>
  <si>
    <t>6-027/22</t>
  </si>
  <si>
    <t>CONCORRÊNCIA Licitação: 007/2021</t>
  </si>
  <si>
    <t>70.073.275/0001-30</t>
  </si>
  <si>
    <t>GEOSISTEMAS ENGENHARIA E PLANEJAMENTO LTDA</t>
  </si>
  <si>
    <t>6-028/22</t>
  </si>
  <si>
    <t>CONTRATAÇÃO DE EMPRESA ESPECIALIZADA EM ENGENHARIA PARA ELABORAÇÃO E READEQUAÇÃO DE PROJETOS EXECUTIVOS DE INFRAESTRUTURADA URBANA, PARA AS VIAS DA CIDADE DO RECIFE</t>
  </si>
  <si>
    <t>17.883.268/0001-11</t>
  </si>
  <si>
    <t>WRC SOLUCOES - PROJETOS, GEODESIA E CONSTRUÇÃO LTDA</t>
  </si>
  <si>
    <t>6-032/22</t>
  </si>
  <si>
    <t>6-033/22</t>
  </si>
  <si>
    <t>PREGÃO ELETRÔNICO Licitação: 017/2022</t>
  </si>
  <si>
    <t>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t>
  </si>
  <si>
    <t>MANUTENÇÃO E /OU INSTALAÇÃO DE EQUIPAMENTOS E BRINQUEDOS EM MADEIRA, INSTALADOS EM PARQUES E PRAÇAS DA CIDADE DO RECIFE</t>
  </si>
  <si>
    <t>CONTRATAÇÃO DE EMPRESA DE ENGENHARIA, ESPECIALIZADA EM ILUMINAÇÃO PÚBLICA, PARA FORNECIMENTO E INSTAÇÃO DE LUMINARIAS COM TECNOLOGIA LED, COMPATÍVEIS COM SISTEMA DE TELEGESTÃO E REDE ELÉTRICA, PARA ILUMINAÇÃO PÚBLICA DA BR 101, NO TRECHO COMPREENDIDO ENTRE OS KM 69 E KM 78 E OS KM 62 E KM 58</t>
  </si>
  <si>
    <t>REQUALIFICAÇÃO DO PARQUE APIPUCOS E DO SEU ENTORNO</t>
  </si>
  <si>
    <t>CONTRATAÇÃO DE EMPRESA ESPECIALIZADA NO RAMO DE ENGENHARIA PARA EXECUÇÃO DOS SERVIÇOS DE REQUALIFICAÇÃO DA PRAÇA ABELARDO BALTAR, PRAÇA BRASILIA FORMOSA E PRAÇA SÃO PEDRO LOCALIZADAS NA CIDADE DO RECIFE PE, DE ACORDO COM AS NORMAS PREVISTAS NESTE PROJETO BÁSICO E NA PLANILHA ORÇAMENTÁRIA</t>
  </si>
  <si>
    <t>REFORMA DE DOIS PRÉDIOS PÚBLICOS MANTIDOS PELA EMLURB, REFORMA COM AMPLIAÇÃO PARA IMPLANTAÇÃO DO SETOR DE FISCALIZAÇÃO STFI , 2 E 3, LOCALIZADA NA RUA JOUBERTE CARVALHO, CASA AMARELA E DIVISÃO DE FISCALIZAÇÃO DVFI 4 E 5 LOCALIZADO NO PARQUE DO CAIARA, AV. MAURÍCIO DE NASSAU, 68 IPUTINGA, RECIFE</t>
  </si>
  <si>
    <t>CONTRATAÇÃO DE EMPRESA DE ENGENHARIA CIVIL PARA A EXECUÇÃO DE SERVIÇOS DE REQUALIFICAÇÃO, MANUTENÇÃO PREVENTIVA E CORRETIVA DOS EQUIPAMENTOS ESPORTIVOS NA ORLA DE BOA VIAGEM</t>
  </si>
  <si>
    <t>CONTRATAÇÃO DE EMPRESA ESPECIALIZADA EM SERVIÇOS DE ENGENHARIA AGRONÔMICA COM FINS DE EXECUÇÃO DE SERVIÇOS DE MANUTENÇÃO DO ARBORETO URBANO DAS VIAS PÚBLICAS, PARQUES, PRAÇAS E DEMAIS ÁREAS VERDES DA CIDADE DO RECIFE</t>
  </si>
  <si>
    <t>CONTRATAÇÃO DE EMPRESA DE ENGENHARIA ESPECIALIZADA EM ILUMINAÇÃO PÚBLICA PARA REALIZAÇÃO DE MANUTENÇÃO PREVENTIVA E CORRETIVA DO SISTEMA DE ILUMINAÇÃO PÚBLICA ESPECIAL DO MUNICÍPIO DO RECIFE</t>
  </si>
  <si>
    <t>SERVIÇOS DE IMPLANTAÇÃO DE PAVIMENTAÇÃO, DRENAGEM, ACESSIBILIDADE E SINALIZAÇÃO DA RUA FRANCISCO VITA TRECHO, ENTRE A AV. CAXANGA E A RUA ALAIDE LOCALIZADA NO BAIRRO DO CORDEIRO NA CIDADE DO RECIFE PE</t>
  </si>
  <si>
    <t>6-034/22</t>
  </si>
  <si>
    <t>6-036/22</t>
  </si>
  <si>
    <t>CONCORRÊNCIA Licitação: 001/2022</t>
  </si>
  <si>
    <t>SERVIÇO DE MANUTENÇÃO PREVENTIVA DO SISTEMA MACRODRENAGEM EM TODAS AS RPAS DA CIDADE DO RECIFE, LOTE I - RPA 01 E RPA 06</t>
  </si>
  <si>
    <t>6-037/22</t>
  </si>
  <si>
    <t>SERVIÇO DE MANUTENÇÃO PREVENTIVA DO SISTEMA MACRODRENAGEM EM TODAS AS RPAS DA CIDADE DO RECIFE, LOTE II - RPA 02 E RPA 03</t>
  </si>
  <si>
    <t>6-038/22</t>
  </si>
  <si>
    <t>SERVIÇO DE MANUTENÇÃO PREVENTIVA DO SISTEMA MACRODRENAGEM EM TODAS AS RPAS DA CIDADE DO RECIFE. LOTE III - RPA 04 E RPA 05</t>
  </si>
  <si>
    <t>03.951.168/0001-70</t>
  </si>
  <si>
    <t>CONSTRUTORA NOVO MUNDO EIRELI</t>
  </si>
  <si>
    <t>6-039/22</t>
  </si>
  <si>
    <t xml:space="preserve">  CONCORRÊNCIA Licitação: 004/2022</t>
  </si>
  <si>
    <t>IMPLANTAÇÃO DE CICLOVIA NA AV. AGAMENON MAGALHÃES NO TRECHO COMPREENDIDO ENTRE A RUA DR. LEOPOLDO LINS, NO BAIRRO DA BOA VISTA ATÉ A AVENIDA SATURTINO DE BRITO, NO BAIRRO DO CABANGA, RECIFE PE</t>
  </si>
  <si>
    <t>11.864.311/0001-15</t>
  </si>
  <si>
    <t>SBC SOCIEDADE BRASILEIRA DE CONSTRUCOES LTDA</t>
  </si>
  <si>
    <t>3.390.39</t>
  </si>
  <si>
    <t xml:space="preserve">   </t>
  </si>
  <si>
    <t>6-043/22</t>
  </si>
  <si>
    <t>TOMADA DE PREÇOS Licitação: 002/2022</t>
  </si>
  <si>
    <t>REQUALIFICAÇÃO DO PRÉDIO DO VELÓRIO DO CEMITÉRIO DE SANTO AMARO, LOCALIZADO NA RUA DO POMBAL, BAIRRO DE SANTO AMARO RECIFE</t>
  </si>
  <si>
    <t>6-046/22</t>
  </si>
  <si>
    <t>CONCORRÊNCIA Licitação: 006/2022</t>
  </si>
  <si>
    <t>RECUPERAÇÃO DE CONTENÇÃO DE CANAIS, NAS DIVERSAS REGIÃO POLITICO ADMINISTRATIVA RPA'S DA CIDADE DO RECIFE</t>
  </si>
  <si>
    <t>6-047/22</t>
  </si>
  <si>
    <t>CONCORRÊNCIA Licitação: 005/2022</t>
  </si>
  <si>
    <t>CONTRATAÇÃO DE EMPRESA DE ENGENHARIA ESPECIALIZADA EM ILUMINAÇÃO PÚBLICA PARA FORNECIMENTO E INSTALAÇÃO DE SISTEMA DE PROTEÇÃO CONTRA VAZAMENTO DE CORRENTE E ATERRAMENTO NOS POSTES EXCLUSIVOS DE ILUMINAÇÃO PÚBLICA NA CIDADE DO RECIFE/PE</t>
  </si>
  <si>
    <t>6-048/22</t>
  </si>
  <si>
    <t>PREGÃO ELETRÔNICO Licitação: 012/2022</t>
  </si>
  <si>
    <t>6-049/22</t>
  </si>
  <si>
    <t>PREGÃO ELETRÔNICO Licitação: 001/2022</t>
  </si>
  <si>
    <t>CONTRATAÇÃO DE PESSOA JURÍDICA ESPECIALIZADA EM ENGENHARIA SANITÁRIA PARA RECEBIMENTO, TRATAMENTO E DISPOSIÇÃO FINAL DE RESÍDUOS SÓLIDOS URBANOS CLASSE IIA E CLASSE IIB COLETADOS PELA EMLURB NO MUNICÍPIO DE RECIFE, NOS LOTES ABAIXO ESPECIFICADOS E SUAS RESPECTIVAS QUANTIDADES ESTIMATIVAS. LOTE I</t>
  </si>
  <si>
    <t>03.279.285/0027-79</t>
  </si>
  <si>
    <t>ORIZON MEIO AMBIENTE S.A.</t>
  </si>
  <si>
    <t>6-050/22</t>
  </si>
  <si>
    <t>CONTRATAÇÃO DE PESSOA JURÍDICA ESPECIALIZADA EM ENGENHARIA SANITÁRIA PARA RECEBIMENTO, TRATAMENTO E DISPOSIÇÃO FINAL DE RESÍDUOS SÓLIDOS URBANOS CLASSE IIA E CLASSE IIB COLETADOS PELA EMLURB NO MUNICÍPIO DE RECIFE, NOS LOTES ABAIXO ESPECIFICADOS E SUAS RESPECTIVAS QUANTIDADES ESTIMATIVAS. LOTE II</t>
  </si>
  <si>
    <t>6-051/22</t>
  </si>
  <si>
    <t>PREGÃO ELETRÔNICO Licitação: 023/2022</t>
  </si>
  <si>
    <t>CONTRATAÇÃO DE EMPRESA DE ENGENHARIA ESPECIALIZADA PARA A EXECUÇÃO DOS SERVIÇOS DE PAVIMENTAÇÃO E DRENAGEM COM A ELEVAÇÃO DE GREIDE NA AVENIDA AGAMENON MAGALHÃES, NO TRECHO ENTRE PARQUE AMORIM E A MC DONALD'S, BAIRRO DAS GRAÇAS, RECIFE/PE</t>
  </si>
  <si>
    <t>6-052/22</t>
  </si>
  <si>
    <t>PREGÃO ELETRÔNICO Licitação: 022/2022</t>
  </si>
  <si>
    <t>CONTRATAÇÃO DE EMPRESA ESPECIALIZADA NO RAMO DE ENGENHARIA PARA EXECUÇÃO DE DEMOLIÇÃO E CONSTRUÇÃO DO MÓDULO 66 (GAVETAS E OSSUÁRIOS) E RECUPERAÇÃO ESTRUTURAL DO MURO DIVISA COM O IML, LOCALIZADOS NO CEMITÉRIO DE SANTO AMARO, BAIRRO DE SANTO AMARO</t>
  </si>
  <si>
    <t>34.071.337/0001-01</t>
  </si>
  <si>
    <t>FONTE SOUTO CONSTRUÇÕES EIRELI</t>
  </si>
  <si>
    <t>6-053/22</t>
  </si>
  <si>
    <t>CONCORRÊNCIA Licitação: 009/2022</t>
  </si>
  <si>
    <t>CONTRATAÇÃO DE EMPRESA DE ENGENHARIA PARA EXECUÇÃO DA RECUPERAÇÃO ESTRUTURAL E MANUTENÇÃO PREVENTIVA E CORRETIVA DAS TORRES DE ILUMINAÇÃO PÚBLICA DA ORLA DA AVENIDA BOA VIAGEM, RECIFE/PE</t>
  </si>
  <si>
    <t>6-054/22</t>
  </si>
  <si>
    <t>CONCORRÊNCIA Licitação: 007/2022</t>
  </si>
  <si>
    <t>CONTRATAÇÃO DE EMPRESA DE ENGENHARIA ESPECIALIZADA EM ILUMINAÇÃO PÚBLICA, PARA FORNECIMENTO E INSTALAÇÃO DE LUMINÁRIAS RGB COM TECNOLOGIA LED E REDE ELÉTRICA, PARA ILUMINAÇÃO CÊNICA DO PARQUE DAS ESCULTURAS DE BRENNAND</t>
  </si>
  <si>
    <t>6-055/22</t>
  </si>
  <si>
    <t>CONCORRÊNCIA Licitação: 010/2022</t>
  </si>
  <si>
    <t>ERVIÇOS DE IMPLANTAÇÃO DE DRENAGEM E PAVIMENTAÇÃO NA RUA TABELIÃO JOÃO ROMA, BAIRRO DA VÁRZEA CAXANGÁ</t>
  </si>
  <si>
    <t>6-056/22</t>
  </si>
  <si>
    <t>CONCORRÊNCIA Licitação: 014/2022</t>
  </si>
  <si>
    <t>SERVIÇOS DE MANUTENÇÃO DO SISTEMA DA MICRODRENAGEM DE ÁGUAS PLUVIAIS DAS RPA'S 4, 5 E 6 DA CIDADE DO RECIFE. LOTE I</t>
  </si>
  <si>
    <t>6-057/22</t>
  </si>
  <si>
    <t>SERVIÇOS DE MANUTENÇÃO DO SISTEMA DA MICRODRENAGEM DE ÁGUAS PLUVIAIS DAS RPA'S 4, 5 E 6 DA CIDADE DO RECIFE. LOTE II</t>
  </si>
  <si>
    <t>6-058/22</t>
  </si>
  <si>
    <t>CONCORRÊNCIA Licitação: 013/2022</t>
  </si>
  <si>
    <t>REQUALIFICAÇÃO DE DRENAGEM E PAVIMENTAÇÃO DAS RUAS CASTRO ALVES, ENGENHEIRO LUIZ VAUTHIER, RUA DA CORAGEM, RUA PROFESSOR MIRANDA CURIÓ E RUA DONA JULIETA, LOCALIZADAS NO BAIRRO DA ENCRUZILHADA</t>
  </si>
  <si>
    <t>6-059/22</t>
  </si>
  <si>
    <t>CONCORRÊNCIA Licitação: 012/2022</t>
  </si>
  <si>
    <t>REQUALIFICAÇÃO DA DRENAGEM E PAVIMENTAÇÃO DA RUA IMPERIAL E DA DRENAGEM DA AV. SUL, TRECHO COMPREENDIDO ENTRE A TRAVESSA DO GASPAR E AV. DANTAS BARRETO, BAIRRO DE SÃO JOSÉ</t>
  </si>
  <si>
    <t>6-060/22</t>
  </si>
  <si>
    <t>CONCORRÊNCIA Licitação: 011/2022</t>
  </si>
  <si>
    <t>REQUALIFICAÇÃO DA DRENAGEM E PAVIMENTAÇÃO DA RUA DA CONCÓRDIA, TRECHO COMPREENDIDO ENTRE A RUA MUNIZ E RUA FREI CANECA, BAIRRO DE SÃO JOSÉ</t>
  </si>
  <si>
    <t>6-061/22</t>
  </si>
  <si>
    <t>CREDENCIAMENTO Licitação: 001/2022</t>
  </si>
  <si>
    <t>CREDENCIAMENTO DE EMPRESA ESPECIALIZADA EM ENGENHARIA SANITÁRIA PARA EXECUTAR OS SERVIÇOS DE RECOLHIMENTO, TRANSPORTE, TRATAMENTO E DISPOSIÇÃO FINAL AMBIENTALMENTE CORRETA DE RESÍDUO LÍQUIDO LIXIVIADO ORIUNDO DO ATERRO DESATIVADO DA MURIBECA SOB A RESPONSABILIDADE DESTA AUTARQUIA</t>
  </si>
  <si>
    <t>em elaboração</t>
  </si>
  <si>
    <t>6-062/22</t>
  </si>
  <si>
    <t>TOMADA DE PREÇOS Licitação: 004/2022</t>
  </si>
  <si>
    <t>CONTRATAÇÃO DE EMPRESA ESPECIALIZADA NO RAMO DE ENGENHARIA PARA EXECUÇÃO DOS SERVIÇOS DE IMPLEMENTAÇÃO DE PRAÇA PARA A INFÂNCIA NA PRAÇA DOM MIGUEL VALVERDE, ENCRUZILHADA - RECIFE/PE</t>
  </si>
  <si>
    <t>08.135.535/0001-81</t>
  </si>
  <si>
    <t>CONSTRUTORA FJ LTDA</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</si>
</sst>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0.00\ ;&quot; -&quot;#\ ;@\ "/>
    <numFmt numFmtId="165" formatCode="#,##0.00_ ;\-#,##0.00\ "/>
    <numFmt numFmtId="166" formatCode="_-* #,##0.0_-;\-* #,##0.0_-;_-* &quot;-&quot;??_-;_-@_-"/>
    <numFmt numFmtId="167" formatCode="dd/mm/yy;@"/>
    <numFmt numFmtId="168" formatCode="[$-416]dddd\,\ d&quot; de &quot;mmmm&quot; de &quot;yyyy"/>
    <numFmt numFmtId="169" formatCode="&quot;Sim&quot;;&quot;Sim&quot;;&quot;Não&quot;"/>
    <numFmt numFmtId="170" formatCode="&quot;Verdadeiro&quot;;&quot;Verdadeiro&quot;;&quot;Falso&quot;"/>
    <numFmt numFmtId="171" formatCode="&quot;Ativar&quot;;&quot;Ativar&quot;;&quot;Desativar&quot;"/>
    <numFmt numFmtId="172" formatCode="[$€-2]\ #,##0.00_);[Red]\([$€-2]\ #,##0.00\)"/>
    <numFmt numFmtId="173" formatCode="_([$R$ -416]* #,##0.00_);_([$R$ -416]* \(#,##0.00\);_([$R$ -416]* &quot;-&quot;??_);_(@_)"/>
    <numFmt numFmtId="174" formatCode="#,##0.000\ ;\-#,##0.000\ ;&quot; -&quot;#.0\ ;@\ "/>
    <numFmt numFmtId="175" formatCode="#,##0.0\ ;\-#,##0.0\ ;&quot; -&quot;#\ ;@\ "/>
    <numFmt numFmtId="176" formatCode="#,##0\ ;\-#,##0\ ;&quot; -&quot;#\ ;@\ "/>
  </numFmts>
  <fonts count="46">
    <font>
      <sz val="11"/>
      <color indexed="8"/>
      <name val="Calibri"/>
      <family val="2"/>
    </font>
    <font>
      <b/>
      <sz val="11"/>
      <color indexed="8"/>
      <name val="Calibri"/>
      <family val="2"/>
    </font>
    <font>
      <sz val="9"/>
      <name val="Tahoma"/>
      <family val="2"/>
    </font>
    <font>
      <b/>
      <sz val="9"/>
      <name val="Tahoma"/>
      <family val="2"/>
    </font>
    <font>
      <sz val="10"/>
      <name val="Arial"/>
      <family val="2"/>
    </font>
    <font>
      <b/>
      <sz val="8"/>
      <name val="Calibri"/>
      <family val="2"/>
    </font>
    <font>
      <sz val="11"/>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color indexed="8"/>
      <name val="Calibri"/>
      <family val="2"/>
    </font>
    <font>
      <b/>
      <sz val="8"/>
      <color indexed="8"/>
      <name val="Calibri"/>
      <family val="2"/>
    </font>
    <font>
      <sz val="8"/>
      <color indexed="17"/>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B050"/>
      <name val="Calibri"/>
      <family val="2"/>
    </font>
    <font>
      <sz val="11"/>
      <color rgb="FF00B05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style="thin"/>
    </border>
    <border>
      <left style="thin"/>
      <right/>
      <top style="thin"/>
      <bottom style="thin"/>
    </border>
    <border>
      <left/>
      <right/>
      <top/>
      <bottom style="thin"/>
    </border>
    <border>
      <left/>
      <right/>
      <top style="thin"/>
      <bottom style="thin"/>
    </border>
    <border>
      <left/>
      <right style="thin"/>
      <top style="thin"/>
      <bottom style="thin"/>
    </border>
  </borders>
  <cellStyleXfs count="3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4" fillId="0" borderId="0">
      <alignment/>
      <protection/>
    </xf>
    <xf numFmtId="0" fontId="4" fillId="0" borderId="0">
      <alignment/>
      <protection/>
    </xf>
    <xf numFmtId="0" fontId="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4" fontId="0" fillId="0" borderId="0" applyFill="0" applyBorder="0" applyAlignment="0" applyProtection="0"/>
    <xf numFmtId="41" fontId="0" fillId="0" borderId="0" applyFont="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241">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7" fillId="0" borderId="0" xfId="0" applyFont="1" applyAlignment="1">
      <alignment vertical="center" wrapText="1"/>
    </xf>
    <xf numFmtId="164" fontId="7" fillId="0" borderId="0" xfId="210" applyFont="1" applyAlignment="1">
      <alignment vertical="center" wrapText="1"/>
    </xf>
    <xf numFmtId="0" fontId="7" fillId="0" borderId="0" xfId="0" applyFont="1" applyFill="1" applyAlignment="1">
      <alignment horizontal="center" vertical="center" wrapText="1"/>
    </xf>
    <xf numFmtId="164" fontId="23" fillId="0" borderId="0" xfId="210" applyFont="1" applyFill="1" applyAlignment="1">
      <alignment vertical="center" wrapText="1"/>
    </xf>
    <xf numFmtId="0" fontId="7" fillId="0" borderId="0" xfId="0" applyFont="1" applyAlignment="1">
      <alignment horizontal="center" vertical="center" wrapText="1"/>
    </xf>
    <xf numFmtId="0" fontId="7" fillId="0" borderId="13" xfId="0" applyFont="1" applyBorder="1" applyAlignment="1">
      <alignment vertical="center" wrapText="1"/>
    </xf>
    <xf numFmtId="0" fontId="7" fillId="0" borderId="13" xfId="0" applyFont="1" applyBorder="1" applyAlignment="1">
      <alignment horizontal="center" vertical="center" wrapText="1"/>
    </xf>
    <xf numFmtId="164" fontId="7" fillId="0" borderId="13" xfId="210" applyFont="1" applyBorder="1" applyAlignment="1">
      <alignment vertical="center" wrapText="1"/>
    </xf>
    <xf numFmtId="0" fontId="7" fillId="0" borderId="13" xfId="0" applyFont="1" applyFill="1" applyBorder="1" applyAlignment="1">
      <alignment horizontal="center" vertical="center" wrapText="1"/>
    </xf>
    <xf numFmtId="164" fontId="23" fillId="0" borderId="13" xfId="210" applyFont="1" applyFill="1" applyBorder="1" applyAlignment="1">
      <alignment vertical="center" wrapText="1"/>
    </xf>
    <xf numFmtId="0" fontId="7" fillId="0" borderId="13" xfId="0" applyFont="1" applyFill="1" applyBorder="1" applyAlignment="1">
      <alignment vertical="center" wrapText="1"/>
    </xf>
    <xf numFmtId="0" fontId="7" fillId="0" borderId="0" xfId="0" applyFont="1" applyFill="1" applyAlignment="1">
      <alignment vertical="center" wrapText="1"/>
    </xf>
    <xf numFmtId="0" fontId="7" fillId="33" borderId="0" xfId="0" applyFont="1" applyFill="1" applyAlignment="1">
      <alignment vertical="center" wrapText="1"/>
    </xf>
    <xf numFmtId="0" fontId="7" fillId="0" borderId="0" xfId="0" applyFont="1" applyAlignment="1">
      <alignment horizontal="left" vertical="center" wrapText="1"/>
    </xf>
    <xf numFmtId="167" fontId="7" fillId="0" borderId="0" xfId="0" applyNumberFormat="1" applyFont="1" applyAlignment="1">
      <alignment horizontal="center" vertical="center" wrapText="1"/>
    </xf>
    <xf numFmtId="164" fontId="7" fillId="0" borderId="0" xfId="210" applyFont="1" applyFill="1" applyAlignment="1">
      <alignment horizontal="center" vertical="center" wrapText="1"/>
    </xf>
    <xf numFmtId="164" fontId="7" fillId="0" borderId="0" xfId="210" applyFont="1" applyFill="1" applyAlignment="1">
      <alignment vertical="center" wrapText="1"/>
    </xf>
    <xf numFmtId="0" fontId="7" fillId="34" borderId="0" xfId="0" applyFont="1" applyFill="1" applyAlignment="1">
      <alignment vertical="center" wrapText="1"/>
    </xf>
    <xf numFmtId="0" fontId="5" fillId="0" borderId="0" xfId="0" applyFont="1" applyFill="1" applyAlignment="1">
      <alignment vertical="center" wrapText="1"/>
    </xf>
    <xf numFmtId="164" fontId="5" fillId="0" borderId="0" xfId="210" applyFont="1" applyFill="1" applyAlignment="1">
      <alignment horizontal="center" vertical="center" wrapText="1"/>
    </xf>
    <xf numFmtId="14" fontId="5" fillId="0" borderId="13"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4" fontId="7" fillId="0" borderId="0" xfId="0" applyNumberFormat="1" applyFont="1" applyFill="1" applyAlignment="1">
      <alignment horizontal="center" vertical="center" wrapText="1"/>
    </xf>
    <xf numFmtId="14" fontId="7" fillId="0" borderId="13" xfId="0" applyNumberFormat="1" applyFont="1" applyFill="1" applyBorder="1" applyAlignment="1">
      <alignment horizontal="center" vertical="center" wrapText="1"/>
    </xf>
    <xf numFmtId="164" fontId="7" fillId="0" borderId="0" xfId="0" applyNumberFormat="1" applyFont="1" applyAlignment="1">
      <alignment vertical="center" wrapText="1"/>
    </xf>
    <xf numFmtId="164" fontId="5" fillId="0" borderId="0" xfId="21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164" fontId="5" fillId="0" borderId="0" xfId="210" applyFont="1" applyAlignment="1">
      <alignment horizontal="center" vertical="center" wrapText="1"/>
    </xf>
    <xf numFmtId="165" fontId="7" fillId="0" borderId="0" xfId="0" applyNumberFormat="1" applyFont="1" applyFill="1" applyAlignment="1">
      <alignment vertical="center" wrapText="1"/>
    </xf>
    <xf numFmtId="0" fontId="7" fillId="0" borderId="0" xfId="0" applyFont="1" applyFill="1" applyAlignment="1">
      <alignment horizontal="left" vertical="center" wrapText="1"/>
    </xf>
    <xf numFmtId="14" fontId="5" fillId="0" borderId="13" xfId="210" applyNumberFormat="1" applyFont="1" applyFill="1" applyBorder="1" applyAlignment="1">
      <alignment horizontal="center" vertical="center" wrapText="1"/>
    </xf>
    <xf numFmtId="164" fontId="7" fillId="0" borderId="0" xfId="0" applyNumberFormat="1" applyFont="1" applyFill="1" applyAlignment="1">
      <alignment vertical="center" wrapText="1"/>
    </xf>
    <xf numFmtId="164" fontId="6" fillId="0" borderId="0" xfId="210" applyFont="1" applyFill="1" applyAlignment="1">
      <alignment vertical="center" wrapText="1"/>
    </xf>
    <xf numFmtId="164" fontId="5" fillId="0" borderId="0" xfId="210" applyFont="1" applyFill="1" applyBorder="1" applyAlignment="1">
      <alignment horizontal="center" vertical="center" wrapText="1"/>
    </xf>
    <xf numFmtId="14" fontId="7" fillId="0" borderId="13" xfId="0" applyNumberFormat="1" applyFont="1" applyBorder="1" applyAlignment="1">
      <alignment vertical="center" wrapText="1"/>
    </xf>
    <xf numFmtId="164" fontId="5" fillId="0" borderId="0" xfId="210" applyFont="1" applyFill="1" applyAlignment="1">
      <alignment horizontal="lef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164" fontId="5" fillId="0" borderId="0" xfId="210" applyFont="1" applyFill="1" applyBorder="1" applyAlignment="1">
      <alignment horizontal="left" vertical="center" wrapText="1"/>
    </xf>
    <xf numFmtId="0" fontId="5" fillId="0" borderId="0" xfId="0" applyFont="1" applyFill="1" applyBorder="1" applyAlignment="1">
      <alignment horizontal="center" vertical="center" wrapText="1"/>
    </xf>
    <xf numFmtId="164" fontId="5" fillId="0" borderId="0" xfId="210" applyFont="1" applyFill="1" applyBorder="1" applyAlignment="1">
      <alignment vertical="center" wrapText="1"/>
    </xf>
    <xf numFmtId="164" fontId="5" fillId="0" borderId="0" xfId="210" applyFont="1" applyBorder="1" applyAlignment="1">
      <alignment horizontal="left" vertical="center" wrapText="1"/>
    </xf>
    <xf numFmtId="164" fontId="5" fillId="0" borderId="13" xfId="210" applyFont="1" applyBorder="1" applyAlignment="1">
      <alignment horizontal="center" vertical="center" wrapText="1"/>
    </xf>
    <xf numFmtId="167" fontId="5" fillId="35" borderId="13" xfId="0" applyNumberFormat="1" applyFont="1" applyFill="1" applyBorder="1" applyAlignment="1">
      <alignment horizontal="center" vertical="center" wrapText="1"/>
    </xf>
    <xf numFmtId="0" fontId="5" fillId="0" borderId="0" xfId="0" applyFont="1" applyAlignment="1">
      <alignment/>
    </xf>
    <xf numFmtId="164" fontId="24" fillId="0" borderId="0" xfId="210" applyFont="1" applyFill="1" applyAlignment="1">
      <alignment vertical="center" wrapText="1"/>
    </xf>
    <xf numFmtId="164" fontId="23" fillId="0" borderId="0" xfId="210" applyFont="1" applyFill="1" applyBorder="1" applyAlignment="1">
      <alignment vertical="center" wrapText="1"/>
    </xf>
    <xf numFmtId="164" fontId="7" fillId="0" borderId="13" xfId="210" applyFont="1" applyBorder="1" applyAlignment="1">
      <alignment vertical="center" wrapText="1"/>
    </xf>
    <xf numFmtId="164" fontId="7" fillId="0" borderId="0" xfId="210" applyFont="1" applyFill="1" applyBorder="1" applyAlignment="1">
      <alignment vertical="center" wrapText="1"/>
    </xf>
    <xf numFmtId="164" fontId="5" fillId="0" borderId="0" xfId="210" applyFont="1" applyFill="1" applyAlignment="1">
      <alignment vertical="center" wrapText="1"/>
    </xf>
    <xf numFmtId="164" fontId="7" fillId="0" borderId="0" xfId="210" applyFont="1" applyFill="1" applyAlignment="1">
      <alignment horizontal="left" vertical="center" wrapText="1"/>
    </xf>
    <xf numFmtId="164" fontId="7" fillId="0" borderId="13" xfId="210" applyFont="1" applyFill="1" applyBorder="1" applyAlignment="1">
      <alignment horizontal="center" vertical="center" wrapText="1"/>
    </xf>
    <xf numFmtId="164" fontId="5" fillId="0" borderId="13" xfId="210" applyFont="1" applyFill="1" applyBorder="1" applyAlignment="1">
      <alignment horizontal="center" vertical="center" wrapText="1"/>
    </xf>
    <xf numFmtId="164" fontId="7" fillId="0" borderId="0" xfId="210" applyFont="1" applyFill="1" applyAlignment="1">
      <alignment vertical="center" wrapText="1"/>
    </xf>
    <xf numFmtId="164" fontId="7" fillId="0" borderId="13" xfId="210" applyFont="1" applyFill="1" applyBorder="1" applyAlignment="1">
      <alignment vertical="center" wrapText="1"/>
    </xf>
    <xf numFmtId="164" fontId="7" fillId="0" borderId="0" xfId="210" applyFont="1" applyFill="1" applyAlignment="1">
      <alignment horizontal="right" vertical="center" wrapText="1"/>
    </xf>
    <xf numFmtId="49" fontId="5" fillId="0" borderId="0" xfId="0" applyNumberFormat="1" applyFont="1" applyFill="1" applyAlignment="1">
      <alignment horizontal="left" vertical="center" wrapText="1"/>
    </xf>
    <xf numFmtId="164" fontId="7" fillId="0" borderId="0" xfId="210" applyFont="1" applyBorder="1" applyAlignment="1">
      <alignment horizontal="center" vertical="center" wrapText="1"/>
    </xf>
    <xf numFmtId="164" fontId="5" fillId="0" borderId="13" xfId="210" applyFont="1" applyFill="1" applyBorder="1" applyAlignment="1">
      <alignment horizontal="center" vertical="center" wrapText="1"/>
    </xf>
    <xf numFmtId="164" fontId="5" fillId="0" borderId="14" xfId="210"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164" fontId="24" fillId="0" borderId="13" xfId="21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14" fontId="5" fillId="0" borderId="0" xfId="0" applyNumberFormat="1" applyFont="1" applyFill="1" applyAlignment="1">
      <alignment vertical="center" wrapText="1"/>
    </xf>
    <xf numFmtId="0" fontId="5" fillId="0" borderId="0" xfId="0" applyFont="1" applyAlignment="1">
      <alignment horizontal="right" vertical="center" wrapText="1"/>
    </xf>
    <xf numFmtId="14" fontId="5" fillId="0" borderId="0" xfId="0" applyNumberFormat="1" applyFont="1" applyAlignment="1">
      <alignment horizontal="right" vertical="center" wrapText="1"/>
    </xf>
    <xf numFmtId="0" fontId="7" fillId="0" borderId="0" xfId="0" applyFont="1" applyAlignment="1">
      <alignment horizontal="right" vertical="center" wrapText="1"/>
    </xf>
    <xf numFmtId="164" fontId="7" fillId="0" borderId="0" xfId="210" applyFont="1" applyAlignment="1">
      <alignment horizontal="right" vertical="center" wrapText="1"/>
    </xf>
    <xf numFmtId="0" fontId="7" fillId="0" borderId="0" xfId="0" applyFont="1" applyFill="1" applyAlignment="1">
      <alignment horizontal="right" vertical="center" wrapText="1"/>
    </xf>
    <xf numFmtId="4" fontId="7" fillId="0" borderId="0" xfId="0" applyNumberFormat="1" applyFont="1" applyAlignment="1">
      <alignment horizontal="right" vertical="center" wrapText="1"/>
    </xf>
    <xf numFmtId="164" fontId="7" fillId="0" borderId="15" xfId="210" applyFont="1" applyBorder="1" applyAlignment="1">
      <alignment horizontal="righ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4" fontId="24" fillId="0" borderId="13" xfId="210" applyFont="1" applyFill="1" applyBorder="1" applyAlignment="1">
      <alignment horizontal="center" vertical="center" wrapText="1"/>
    </xf>
    <xf numFmtId="164" fontId="23" fillId="0" borderId="0" xfId="210" applyFont="1" applyFill="1" applyAlignment="1">
      <alignment horizontal="left" vertical="center" wrapText="1"/>
    </xf>
    <xf numFmtId="0" fontId="23" fillId="0" borderId="0" xfId="0" applyFont="1" applyFill="1" applyAlignment="1">
      <alignment horizontal="center" vertical="center" wrapText="1"/>
    </xf>
    <xf numFmtId="0" fontId="23" fillId="0" borderId="0" xfId="0" applyFont="1" applyFill="1" applyAlignment="1">
      <alignment vertical="center" wrapText="1"/>
    </xf>
    <xf numFmtId="164" fontId="5" fillId="0" borderId="0" xfId="210" applyFont="1" applyFill="1" applyAlignment="1">
      <alignment vertical="center" wrapText="1"/>
    </xf>
    <xf numFmtId="164" fontId="23" fillId="0" borderId="0" xfId="210" applyFont="1" applyFill="1" applyAlignment="1">
      <alignment horizontal="center" vertical="center" wrapText="1"/>
    </xf>
    <xf numFmtId="0" fontId="23" fillId="0" borderId="13" xfId="0" applyFont="1" applyFill="1" applyBorder="1" applyAlignment="1">
      <alignment vertical="center" wrapText="1"/>
    </xf>
    <xf numFmtId="0" fontId="23" fillId="0" borderId="13" xfId="0" applyFont="1" applyFill="1" applyBorder="1" applyAlignment="1">
      <alignment horizontal="center" vertical="center" wrapText="1"/>
    </xf>
    <xf numFmtId="14" fontId="23" fillId="0" borderId="13" xfId="0" applyNumberFormat="1" applyFont="1" applyFill="1" applyBorder="1" applyAlignment="1">
      <alignment horizontal="center" vertical="center" wrapText="1"/>
    </xf>
    <xf numFmtId="165" fontId="23" fillId="0" borderId="0" xfId="0" applyNumberFormat="1" applyFont="1" applyFill="1" applyAlignment="1">
      <alignment vertical="center" wrapText="1"/>
    </xf>
    <xf numFmtId="4" fontId="7" fillId="0" borderId="0" xfId="0" applyNumberFormat="1" applyFont="1" applyFill="1" applyAlignment="1">
      <alignment vertical="center" wrapText="1"/>
    </xf>
    <xf numFmtId="164" fontId="7" fillId="0" borderId="0" xfId="210" applyFont="1" applyFill="1" applyBorder="1" applyAlignment="1">
      <alignment vertical="center" wrapText="1"/>
    </xf>
    <xf numFmtId="166" fontId="7" fillId="0" borderId="0" xfId="0" applyNumberFormat="1" applyFont="1" applyFill="1" applyAlignment="1">
      <alignment vertical="center"/>
    </xf>
    <xf numFmtId="43" fontId="7" fillId="0" borderId="0" xfId="0" applyNumberFormat="1" applyFont="1" applyFill="1" applyAlignment="1">
      <alignment vertical="center" wrapText="1"/>
    </xf>
    <xf numFmtId="165" fontId="23" fillId="0" borderId="0" xfId="0" applyNumberFormat="1" applyFont="1" applyFill="1" applyBorder="1" applyAlignment="1">
      <alignment vertical="center" wrapText="1"/>
    </xf>
    <xf numFmtId="0" fontId="23" fillId="0" borderId="0" xfId="0" applyFont="1" applyFill="1" applyBorder="1" applyAlignment="1">
      <alignment vertical="center" wrapText="1"/>
    </xf>
    <xf numFmtId="0" fontId="23" fillId="0" borderId="16" xfId="0" applyFont="1" applyFill="1" applyBorder="1" applyAlignment="1">
      <alignment vertical="center" wrapText="1"/>
    </xf>
    <xf numFmtId="0" fontId="23" fillId="0" borderId="0" xfId="0" applyFont="1" applyFill="1" applyAlignment="1">
      <alignment horizontal="left" vertical="center" wrapText="1"/>
    </xf>
    <xf numFmtId="14" fontId="23" fillId="0" borderId="0" xfId="0" applyNumberFormat="1" applyFont="1" applyFill="1" applyAlignment="1">
      <alignment horizontal="center" vertical="center" wrapText="1"/>
    </xf>
    <xf numFmtId="164" fontId="23" fillId="0" borderId="0" xfId="210" applyFont="1" applyFill="1" applyAlignment="1">
      <alignment horizontal="right" vertical="center" wrapText="1"/>
    </xf>
    <xf numFmtId="0" fontId="24" fillId="0" borderId="0" xfId="0" applyFont="1" applyFill="1" applyAlignment="1">
      <alignment vertical="center" wrapText="1"/>
    </xf>
    <xf numFmtId="0" fontId="24" fillId="0" borderId="0" xfId="0" applyFont="1" applyFill="1" applyAlignment="1">
      <alignment horizontal="center" vertical="center" wrapText="1"/>
    </xf>
    <xf numFmtId="164" fontId="24" fillId="0" borderId="0" xfId="210" applyFont="1" applyFill="1" applyAlignment="1">
      <alignment horizontal="center" vertical="center" wrapText="1"/>
    </xf>
    <xf numFmtId="165" fontId="7" fillId="0" borderId="0" xfId="0" applyNumberFormat="1" applyFont="1" applyFill="1" applyAlignment="1">
      <alignment horizontal="center" vertical="center" wrapText="1"/>
    </xf>
    <xf numFmtId="0" fontId="23" fillId="0" borderId="13" xfId="0"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164" fontId="5" fillId="0" borderId="0" xfId="210" applyFont="1" applyFill="1" applyBorder="1" applyAlignment="1">
      <alignment vertical="center" wrapText="1"/>
    </xf>
    <xf numFmtId="164" fontId="5" fillId="35" borderId="13" xfId="210" applyFont="1" applyFill="1" applyBorder="1" applyAlignment="1">
      <alignment horizontal="center" vertical="center" wrapText="1"/>
    </xf>
    <xf numFmtId="164" fontId="7" fillId="0" borderId="0" xfId="210" applyFont="1" applyAlignment="1">
      <alignment vertical="center" wrapText="1"/>
    </xf>
    <xf numFmtId="164" fontId="7" fillId="0" borderId="0" xfId="210" applyFont="1" applyAlignment="1">
      <alignment horizontal="right" vertical="center" wrapText="1"/>
    </xf>
    <xf numFmtId="49" fontId="5" fillId="0" borderId="0"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164" fontId="24" fillId="0" borderId="13" xfId="210"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7" fillId="0" borderId="0" xfId="0" applyNumberFormat="1" applyFont="1" applyFill="1" applyAlignment="1" applyProtection="1">
      <alignment horizontal="center" vertical="center" wrapText="1"/>
      <protection locked="0"/>
    </xf>
    <xf numFmtId="164" fontId="7" fillId="0" borderId="0" xfId="210" applyNumberFormat="1" applyFont="1" applyFill="1" applyAlignment="1">
      <alignment vertical="center" wrapText="1"/>
    </xf>
    <xf numFmtId="164" fontId="7" fillId="0" borderId="0" xfId="210" applyNumberFormat="1" applyFont="1" applyFill="1" applyBorder="1" applyAlignment="1">
      <alignment vertical="center" wrapText="1"/>
    </xf>
    <xf numFmtId="49" fontId="5" fillId="0" borderId="13" xfId="0" applyNumberFormat="1" applyFont="1" applyBorder="1" applyAlignment="1">
      <alignment horizontal="center" vertical="center" wrapText="1"/>
    </xf>
    <xf numFmtId="49" fontId="5" fillId="35" borderId="13" xfId="0" applyNumberFormat="1" applyFont="1" applyFill="1" applyBorder="1" applyAlignment="1">
      <alignment horizontal="center" vertical="center" wrapText="1"/>
    </xf>
    <xf numFmtId="49" fontId="5" fillId="0" borderId="0" xfId="0" applyNumberFormat="1" applyFont="1" applyBorder="1" applyAlignment="1">
      <alignment horizontal="left" vertical="center" wrapText="1"/>
    </xf>
    <xf numFmtId="49" fontId="5" fillId="0" borderId="13" xfId="0" applyNumberFormat="1" applyFont="1" applyFill="1" applyBorder="1" applyAlignment="1">
      <alignment horizontal="center" vertical="center" wrapText="1"/>
    </xf>
    <xf numFmtId="164" fontId="5" fillId="0" borderId="13" xfId="210"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164" fontId="7" fillId="0" borderId="13" xfId="210" applyNumberFormat="1" applyFont="1" applyFill="1" applyBorder="1" applyAlignment="1">
      <alignment vertical="center" wrapText="1"/>
    </xf>
    <xf numFmtId="0" fontId="7" fillId="0" borderId="13" xfId="0" applyFont="1" applyFill="1" applyBorder="1" applyAlignment="1">
      <alignment horizontal="left" vertical="center" wrapText="1"/>
    </xf>
    <xf numFmtId="4" fontId="7" fillId="0" borderId="13" xfId="0" applyNumberFormat="1" applyFont="1" applyBorder="1" applyAlignment="1">
      <alignment vertical="center" wrapText="1"/>
    </xf>
    <xf numFmtId="4" fontId="7" fillId="0" borderId="0" xfId="0" applyNumberFormat="1" applyFont="1" applyAlignment="1">
      <alignment vertical="center" wrapText="1"/>
    </xf>
    <xf numFmtId="4" fontId="7" fillId="0" borderId="13" xfId="0" applyNumberFormat="1" applyFont="1" applyBorder="1" applyAlignment="1">
      <alignment vertical="center" wrapText="1"/>
    </xf>
    <xf numFmtId="4" fontId="7" fillId="0" borderId="0" xfId="0" applyNumberFormat="1" applyFont="1" applyAlignment="1">
      <alignment vertical="center" wrapText="1"/>
    </xf>
    <xf numFmtId="43" fontId="7" fillId="0" borderId="0" xfId="210" applyNumberFormat="1" applyFont="1" applyAlignment="1">
      <alignment vertical="center" wrapText="1"/>
    </xf>
    <xf numFmtId="0" fontId="7" fillId="0" borderId="13" xfId="0" applyFont="1" applyBorder="1" applyAlignment="1">
      <alignment vertical="center"/>
    </xf>
    <xf numFmtId="0" fontId="7" fillId="0" borderId="14" xfId="0" applyFont="1" applyBorder="1" applyAlignment="1">
      <alignment vertical="center" wrapText="1"/>
    </xf>
    <xf numFmtId="0" fontId="7" fillId="36" borderId="13" xfId="0" applyFont="1" applyFill="1" applyBorder="1" applyAlignment="1">
      <alignment wrapText="1"/>
    </xf>
    <xf numFmtId="0" fontId="7" fillId="0" borderId="14" xfId="0" applyFont="1" applyFill="1" applyBorder="1" applyAlignment="1">
      <alignment vertical="center" wrapText="1"/>
    </xf>
    <xf numFmtId="164" fontId="7" fillId="0" borderId="14" xfId="210" applyNumberFormat="1" applyFont="1" applyFill="1" applyBorder="1" applyAlignment="1">
      <alignment vertical="center" wrapText="1"/>
    </xf>
    <xf numFmtId="0" fontId="7" fillId="0" borderId="14" xfId="0" applyFont="1" applyFill="1" applyBorder="1" applyAlignment="1">
      <alignment horizontal="center" vertical="center" wrapText="1"/>
    </xf>
    <xf numFmtId="14" fontId="7" fillId="0" borderId="14" xfId="0" applyNumberFormat="1" applyFont="1" applyFill="1" applyBorder="1" applyAlignment="1">
      <alignment horizontal="center" vertical="center" wrapText="1"/>
    </xf>
    <xf numFmtId="4" fontId="7" fillId="0" borderId="14" xfId="0" applyNumberFormat="1" applyFont="1" applyBorder="1" applyAlignment="1">
      <alignment vertical="center" wrapText="1"/>
    </xf>
    <xf numFmtId="164" fontId="7" fillId="0" borderId="14" xfId="210" applyFont="1" applyBorder="1" applyAlignment="1">
      <alignment vertical="center" wrapText="1"/>
    </xf>
    <xf numFmtId="0" fontId="7" fillId="0" borderId="14" xfId="0" applyFont="1" applyFill="1" applyBorder="1" applyAlignment="1">
      <alignment horizontal="left" vertical="center" wrapText="1"/>
    </xf>
    <xf numFmtId="0" fontId="7" fillId="0" borderId="17" xfId="0" applyFont="1" applyBorder="1" applyAlignment="1">
      <alignment vertical="center" wrapText="1"/>
    </xf>
    <xf numFmtId="0" fontId="7" fillId="0" borderId="17" xfId="0" applyFont="1" applyFill="1" applyBorder="1" applyAlignment="1">
      <alignment vertical="center" wrapText="1"/>
    </xf>
    <xf numFmtId="164" fontId="7" fillId="0" borderId="17" xfId="210" applyNumberFormat="1" applyFont="1" applyFill="1" applyBorder="1" applyAlignment="1">
      <alignment vertical="center" wrapText="1"/>
    </xf>
    <xf numFmtId="0" fontId="7" fillId="0" borderId="17" xfId="0" applyFont="1" applyFill="1" applyBorder="1" applyAlignment="1">
      <alignment horizontal="center" vertical="center" wrapText="1"/>
    </xf>
    <xf numFmtId="14" fontId="7" fillId="0" borderId="17" xfId="0" applyNumberFormat="1" applyFont="1" applyFill="1" applyBorder="1" applyAlignment="1">
      <alignment horizontal="center" vertical="center" wrapText="1"/>
    </xf>
    <xf numFmtId="4" fontId="7" fillId="0" borderId="17" xfId="0" applyNumberFormat="1" applyFont="1" applyBorder="1" applyAlignment="1">
      <alignment vertical="center" wrapText="1"/>
    </xf>
    <xf numFmtId="164" fontId="7" fillId="0" borderId="17" xfId="210" applyFont="1" applyBorder="1" applyAlignment="1">
      <alignmen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vertical="center" wrapText="1"/>
    </xf>
    <xf numFmtId="164" fontId="44" fillId="0" borderId="13" xfId="210" applyNumberFormat="1" applyFont="1" applyFill="1" applyBorder="1" applyAlignment="1">
      <alignment vertical="center" wrapText="1"/>
    </xf>
    <xf numFmtId="0" fontId="44" fillId="0" borderId="13" xfId="0"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7" fillId="0" borderId="13" xfId="0" applyNumberFormat="1" applyFont="1" applyBorder="1" applyAlignment="1">
      <alignment horizontal="center" vertical="center" wrapText="1"/>
    </xf>
    <xf numFmtId="49" fontId="7" fillId="0" borderId="13"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Fill="1" applyAlignment="1">
      <alignment horizontal="left" vertical="center" wrapText="1"/>
    </xf>
    <xf numFmtId="14" fontId="7" fillId="0" borderId="13" xfId="0" applyNumberFormat="1" applyFont="1" applyBorder="1" applyAlignment="1">
      <alignment horizontal="center" vertical="center" wrapText="1"/>
    </xf>
    <xf numFmtId="164" fontId="7" fillId="0" borderId="13" xfId="210" applyFont="1" applyBorder="1" applyAlignment="1">
      <alignment horizontal="center" vertical="center" wrapText="1"/>
    </xf>
    <xf numFmtId="164" fontId="7" fillId="0" borderId="13" xfId="210" applyFont="1" applyFill="1" applyBorder="1" applyAlignment="1">
      <alignment horizontal="center" vertical="center" wrapText="1"/>
    </xf>
    <xf numFmtId="164" fontId="7" fillId="0" borderId="13" xfId="210" applyFont="1" applyBorder="1" applyAlignment="1">
      <alignment horizontal="center" vertical="center" wrapText="1"/>
    </xf>
    <xf numFmtId="0" fontId="7" fillId="0" borderId="18" xfId="0" applyFont="1" applyBorder="1" applyAlignment="1">
      <alignment vertical="center" wrapText="1"/>
    </xf>
    <xf numFmtId="164" fontId="7" fillId="0" borderId="18" xfId="210" applyFont="1" applyBorder="1" applyAlignment="1">
      <alignment vertical="center" wrapText="1"/>
    </xf>
    <xf numFmtId="0" fontId="7" fillId="36" borderId="13" xfId="0" applyFont="1" applyFill="1" applyBorder="1" applyAlignment="1">
      <alignment vertical="center" wrapText="1"/>
    </xf>
    <xf numFmtId="4" fontId="7" fillId="0" borderId="13" xfId="139" applyNumberFormat="1" applyFont="1" applyBorder="1" applyAlignment="1">
      <alignment vertical="center" wrapText="1"/>
      <protection/>
    </xf>
    <xf numFmtId="4" fontId="7" fillId="0" borderId="0" xfId="153" applyNumberFormat="1" applyFont="1" applyAlignment="1">
      <alignment vertical="center" wrapText="1"/>
      <protection/>
    </xf>
    <xf numFmtId="14" fontId="7" fillId="0" borderId="0" xfId="0" applyNumberFormat="1" applyFont="1" applyAlignment="1">
      <alignment horizontal="center" vertical="center" wrapText="1"/>
    </xf>
    <xf numFmtId="164" fontId="7" fillId="0" borderId="0" xfId="210" applyFont="1" applyFill="1" applyAlignment="1">
      <alignment horizontal="right" vertical="center" wrapText="1"/>
    </xf>
    <xf numFmtId="164" fontId="7" fillId="0" borderId="13" xfId="210" applyFont="1" applyFill="1" applyBorder="1" applyAlignment="1">
      <alignment vertical="center" wrapText="1"/>
    </xf>
    <xf numFmtId="4" fontId="7" fillId="0" borderId="13" xfId="205" applyNumberFormat="1" applyFont="1" applyFill="1" applyBorder="1" applyAlignment="1">
      <alignment vertical="center" wrapText="1"/>
      <protection/>
    </xf>
    <xf numFmtId="4" fontId="7" fillId="0" borderId="13" xfId="48" applyNumberFormat="1" applyFont="1" applyFill="1" applyBorder="1" applyAlignment="1">
      <alignment vertical="center" wrapText="1"/>
      <protection/>
    </xf>
    <xf numFmtId="4" fontId="7" fillId="0" borderId="13" xfId="187" applyNumberFormat="1" applyFont="1" applyFill="1" applyBorder="1" applyAlignment="1">
      <alignment vertical="center" wrapText="1"/>
      <protection/>
    </xf>
    <xf numFmtId="4" fontId="7" fillId="0" borderId="0" xfId="167" applyNumberFormat="1" applyFont="1" applyFill="1" applyAlignment="1">
      <alignment vertical="center" wrapText="1"/>
      <protection/>
    </xf>
    <xf numFmtId="49" fontId="5" fillId="0" borderId="13" xfId="0" applyNumberFormat="1" applyFont="1" applyFill="1" applyBorder="1" applyAlignment="1">
      <alignment vertical="center" wrapText="1"/>
    </xf>
    <xf numFmtId="164" fontId="5" fillId="0" borderId="13" xfId="210" applyFont="1" applyFill="1" applyBorder="1" applyAlignment="1">
      <alignment vertical="center" wrapText="1"/>
    </xf>
    <xf numFmtId="164" fontId="44" fillId="0" borderId="13" xfId="210" applyFont="1" applyBorder="1" applyAlignment="1">
      <alignment vertical="center" wrapText="1"/>
    </xf>
    <xf numFmtId="0" fontId="44" fillId="0" borderId="13" xfId="0" applyFont="1" applyBorder="1" applyAlignment="1">
      <alignment horizontal="center" vertical="center" wrapText="1"/>
    </xf>
    <xf numFmtId="164" fontId="44" fillId="0" borderId="13" xfId="210" applyFont="1" applyFill="1" applyBorder="1" applyAlignment="1">
      <alignment vertical="center" wrapText="1"/>
    </xf>
    <xf numFmtId="4" fontId="45" fillId="0" borderId="0" xfId="50" applyNumberFormat="1" applyFont="1" applyAlignment="1">
      <alignment horizontal="center" wrapText="1"/>
      <protection/>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164" fontId="5" fillId="0" borderId="13" xfId="210" applyFont="1" applyFill="1" applyBorder="1" applyAlignment="1">
      <alignment horizontal="center" vertical="center" wrapText="1"/>
    </xf>
    <xf numFmtId="49" fontId="5" fillId="0" borderId="0" xfId="0" applyNumberFormat="1" applyFont="1" applyFill="1" applyAlignment="1">
      <alignment horizontal="left" vertical="center" wrapText="1"/>
    </xf>
    <xf numFmtId="164" fontId="7" fillId="0" borderId="13" xfId="21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164" fontId="7" fillId="37" borderId="0" xfId="0" applyNumberFormat="1" applyFont="1" applyFill="1" applyAlignment="1">
      <alignment vertical="center" wrapText="1"/>
    </xf>
    <xf numFmtId="164" fontId="7" fillId="0" borderId="0" xfId="210" applyFont="1" applyFill="1" applyAlignment="1">
      <alignment horizontal="left" vertical="center" wrapText="1"/>
    </xf>
    <xf numFmtId="164" fontId="7" fillId="0" borderId="14" xfId="210" applyFont="1" applyFill="1" applyBorder="1" applyAlignment="1">
      <alignment vertical="center" wrapText="1"/>
    </xf>
    <xf numFmtId="164" fontId="7" fillId="0" borderId="14" xfId="210" applyFont="1" applyFill="1" applyBorder="1" applyAlignment="1">
      <alignment horizontal="center" vertical="center" wrapText="1"/>
    </xf>
    <xf numFmtId="0" fontId="7" fillId="36" borderId="14" xfId="0" applyFont="1" applyFill="1" applyBorder="1" applyAlignment="1">
      <alignment vertical="center" wrapText="1"/>
    </xf>
    <xf numFmtId="0" fontId="7" fillId="36" borderId="0" xfId="0" applyFont="1" applyFill="1" applyAlignment="1">
      <alignment vertical="center" wrapText="1"/>
    </xf>
    <xf numFmtId="176" fontId="7" fillId="0" borderId="13" xfId="210" applyNumberFormat="1" applyFont="1" applyFill="1" applyBorder="1" applyAlignment="1">
      <alignment horizontal="center" vertical="center" wrapText="1"/>
    </xf>
    <xf numFmtId="176" fontId="7" fillId="0" borderId="13" xfId="210" applyNumberFormat="1" applyFont="1" applyBorder="1" applyAlignment="1">
      <alignment vertical="center" wrapText="1"/>
    </xf>
    <xf numFmtId="176" fontId="7" fillId="0" borderId="13" xfId="210" applyNumberFormat="1" applyFont="1" applyFill="1" applyBorder="1" applyAlignment="1">
      <alignment vertical="center" wrapText="1"/>
    </xf>
    <xf numFmtId="176" fontId="7" fillId="0" borderId="13" xfId="210" applyNumberFormat="1" applyFont="1" applyBorder="1" applyAlignment="1">
      <alignment vertical="center" wrapText="1"/>
    </xf>
    <xf numFmtId="176" fontId="7" fillId="0" borderId="0" xfId="210" applyNumberFormat="1" applyFont="1" applyAlignment="1">
      <alignment vertical="center" wrapText="1"/>
    </xf>
    <xf numFmtId="176" fontId="7" fillId="0" borderId="0" xfId="54" applyNumberFormat="1" applyFont="1" applyAlignment="1">
      <alignment vertical="center" wrapText="1"/>
      <protection/>
    </xf>
    <xf numFmtId="176" fontId="7" fillId="0" borderId="0" xfId="210" applyNumberFormat="1" applyFont="1" applyFill="1" applyAlignment="1">
      <alignment horizontal="right" vertical="center" wrapText="1"/>
    </xf>
    <xf numFmtId="176" fontId="7" fillId="0" borderId="0" xfId="210" applyNumberFormat="1" applyFont="1" applyFill="1" applyAlignment="1">
      <alignment vertical="center" wrapText="1"/>
    </xf>
    <xf numFmtId="49" fontId="5" fillId="0" borderId="13" xfId="0" applyNumberFormat="1" applyFont="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locked="0"/>
    </xf>
    <xf numFmtId="164" fontId="5" fillId="0" borderId="13" xfId="210" applyFont="1" applyFill="1" applyBorder="1" applyAlignment="1">
      <alignment horizontal="center" vertical="center" wrapText="1"/>
    </xf>
    <xf numFmtId="4" fontId="5" fillId="0" borderId="0" xfId="0" applyNumberFormat="1" applyFont="1" applyFill="1" applyBorder="1" applyAlignment="1" applyProtection="1">
      <alignment horizontal="center" vertical="center" wrapText="1"/>
      <protection locked="0"/>
    </xf>
    <xf numFmtId="164" fontId="5" fillId="35" borderId="13" xfId="210"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 fontId="5" fillId="0" borderId="0" xfId="0" applyNumberFormat="1" applyFont="1" applyBorder="1" applyAlignment="1">
      <alignment horizontal="center" vertical="center" wrapText="1"/>
    </xf>
    <xf numFmtId="49" fontId="5" fillId="35" borderId="13" xfId="0" applyNumberFormat="1" applyFont="1" applyFill="1" applyBorder="1" applyAlignment="1">
      <alignment horizontal="center" vertical="center" wrapText="1"/>
    </xf>
    <xf numFmtId="49" fontId="5" fillId="0" borderId="0" xfId="0" applyNumberFormat="1" applyFont="1" applyBorder="1" applyAlignment="1">
      <alignment horizontal="left" vertical="center" wrapText="1"/>
    </xf>
    <xf numFmtId="49" fontId="7" fillId="0" borderId="13" xfId="0" applyNumberFormat="1" applyFont="1" applyBorder="1" applyAlignment="1">
      <alignment horizontal="center" vertical="center" wrapText="1"/>
    </xf>
    <xf numFmtId="4" fontId="5" fillId="0" borderId="19" xfId="0" applyNumberFormat="1" applyFont="1" applyFill="1" applyBorder="1" applyAlignment="1">
      <alignment horizontal="center" vertical="center" wrapText="1"/>
    </xf>
    <xf numFmtId="4" fontId="5" fillId="0" borderId="0" xfId="0" applyNumberFormat="1" applyFont="1" applyFill="1" applyAlignment="1" applyProtection="1">
      <alignment horizontal="center" vertical="center" wrapText="1"/>
      <protection locked="0"/>
    </xf>
    <xf numFmtId="49" fontId="7" fillId="0" borderId="13" xfId="0" applyNumberFormat="1" applyFont="1" applyFill="1" applyBorder="1" applyAlignment="1">
      <alignment horizontal="center" vertical="center" wrapText="1"/>
    </xf>
    <xf numFmtId="164" fontId="7" fillId="0" borderId="13" xfId="210" applyFont="1" applyFill="1" applyBorder="1" applyAlignment="1">
      <alignment horizontal="center" vertical="center" wrapText="1"/>
    </xf>
    <xf numFmtId="49" fontId="5" fillId="0" borderId="0" xfId="0" applyNumberFormat="1" applyFont="1" applyAlignment="1">
      <alignment horizontal="center" vertical="center" wrapText="1"/>
    </xf>
    <xf numFmtId="49" fontId="5" fillId="0" borderId="19" xfId="0" applyNumberFormat="1" applyFont="1" applyBorder="1" applyAlignment="1">
      <alignment horizontal="center" vertical="center"/>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4" fontId="5" fillId="0" borderId="0" xfId="0" applyNumberFormat="1" applyFont="1" applyFill="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left" vertical="center" wrapText="1"/>
    </xf>
    <xf numFmtId="49" fontId="7" fillId="0" borderId="0" xfId="0" applyNumberFormat="1" applyFont="1" applyFill="1" applyAlignment="1">
      <alignment horizontal="center" vertical="center" wrapText="1"/>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lignment vertical="center" wrapText="1"/>
    </xf>
    <xf numFmtId="49" fontId="7" fillId="0" borderId="0"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9" fontId="5" fillId="0" borderId="0" xfId="0" applyNumberFormat="1" applyFont="1" applyFill="1" applyBorder="1" applyAlignment="1">
      <alignment vertical="center" wrapText="1"/>
    </xf>
    <xf numFmtId="49" fontId="5" fillId="0" borderId="0" xfId="0" applyNumberFormat="1" applyFont="1" applyFill="1" applyAlignment="1">
      <alignment vertical="center" wrapText="1"/>
    </xf>
    <xf numFmtId="49" fontId="7"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vertical="center" wrapText="1"/>
      <protection locked="0"/>
    </xf>
  </cellXfs>
  <cellStyles count="30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10" xfId="48"/>
    <cellStyle name="Normal 10 2" xfId="49"/>
    <cellStyle name="Normal 11" xfId="50"/>
    <cellStyle name="Normal 11 2" xfId="51"/>
    <cellStyle name="Normal 12" xfId="52"/>
    <cellStyle name="Normal 13" xfId="53"/>
    <cellStyle name="Normal 14" xfId="54"/>
    <cellStyle name="Normal 2" xfId="55"/>
    <cellStyle name="Normal 2 10" xfId="56"/>
    <cellStyle name="Normal 2 10 2" xfId="57"/>
    <cellStyle name="Normal 2 11" xfId="58"/>
    <cellStyle name="Normal 2 11 2" xfId="59"/>
    <cellStyle name="Normal 2 12" xfId="60"/>
    <cellStyle name="Normal 2 12 2" xfId="61"/>
    <cellStyle name="Normal 2 13" xfId="62"/>
    <cellStyle name="Normal 2 13 2" xfId="63"/>
    <cellStyle name="Normal 2 14" xfId="64"/>
    <cellStyle name="Normal 2 14 2" xfId="65"/>
    <cellStyle name="Normal 2 15" xfId="66"/>
    <cellStyle name="Normal 2 15 2" xfId="67"/>
    <cellStyle name="Normal 2 16" xfId="68"/>
    <cellStyle name="Normal 2 16 2" xfId="69"/>
    <cellStyle name="Normal 2 17" xfId="70"/>
    <cellStyle name="Normal 2 17 2" xfId="71"/>
    <cellStyle name="Normal 2 18" xfId="72"/>
    <cellStyle name="Normal 2 18 2" xfId="73"/>
    <cellStyle name="Normal 2 19" xfId="74"/>
    <cellStyle name="Normal 2 19 2" xfId="75"/>
    <cellStyle name="Normal 2 2" xfId="76"/>
    <cellStyle name="Normal 2 2 2" xfId="77"/>
    <cellStyle name="Normal 2 20" xfId="78"/>
    <cellStyle name="Normal 2 20 2" xfId="79"/>
    <cellStyle name="Normal 2 21" xfId="80"/>
    <cellStyle name="Normal 2 21 2" xfId="81"/>
    <cellStyle name="Normal 2 22" xfId="82"/>
    <cellStyle name="Normal 2 23" xfId="83"/>
    <cellStyle name="Normal 2 24" xfId="84"/>
    <cellStyle name="Normal 2 25" xfId="85"/>
    <cellStyle name="Normal 2 26" xfId="86"/>
    <cellStyle name="Normal 2 27" xfId="87"/>
    <cellStyle name="Normal 2 28" xfId="88"/>
    <cellStyle name="Normal 2 29" xfId="89"/>
    <cellStyle name="Normal 2 3" xfId="90"/>
    <cellStyle name="Normal 2 3 2" xfId="91"/>
    <cellStyle name="Normal 2 30" xfId="92"/>
    <cellStyle name="Normal 2 31" xfId="93"/>
    <cellStyle name="Normal 2 32" xfId="94"/>
    <cellStyle name="Normal 2 33" xfId="95"/>
    <cellStyle name="Normal 2 34" xfId="96"/>
    <cellStyle name="Normal 2 35" xfId="97"/>
    <cellStyle name="Normal 2 36" xfId="98"/>
    <cellStyle name="Normal 2 37" xfId="99"/>
    <cellStyle name="Normal 2 38" xfId="100"/>
    <cellStyle name="Normal 2 39" xfId="101"/>
    <cellStyle name="Normal 2 4" xfId="102"/>
    <cellStyle name="Normal 2 4 2" xfId="103"/>
    <cellStyle name="Normal 2 40" xfId="104"/>
    <cellStyle name="Normal 2 41" xfId="105"/>
    <cellStyle name="Normal 2 42" xfId="106"/>
    <cellStyle name="Normal 2 43" xfId="107"/>
    <cellStyle name="Normal 2 44" xfId="108"/>
    <cellStyle name="Normal 2 45" xfId="109"/>
    <cellStyle name="Normal 2 46" xfId="110"/>
    <cellStyle name="Normal 2 47" xfId="111"/>
    <cellStyle name="Normal 2 48" xfId="112"/>
    <cellStyle name="Normal 2 49" xfId="113"/>
    <cellStyle name="Normal 2 5" xfId="114"/>
    <cellStyle name="Normal 2 5 2" xfId="115"/>
    <cellStyle name="Normal 2 6" xfId="116"/>
    <cellStyle name="Normal 2 6 2" xfId="117"/>
    <cellStyle name="Normal 2 7" xfId="118"/>
    <cellStyle name="Normal 2 7 2" xfId="119"/>
    <cellStyle name="Normal 2 8" xfId="120"/>
    <cellStyle name="Normal 2 8 2" xfId="121"/>
    <cellStyle name="Normal 2 9" xfId="122"/>
    <cellStyle name="Normal 2 9 2" xfId="123"/>
    <cellStyle name="Normal 3" xfId="124"/>
    <cellStyle name="Normal 3 2" xfId="125"/>
    <cellStyle name="Normal 4" xfId="126"/>
    <cellStyle name="Normal 4 2" xfId="127"/>
    <cellStyle name="Normal 4 2 2" xfId="128"/>
    <cellStyle name="Normal 4 3" xfId="129"/>
    <cellStyle name="Normal 4 3 2" xfId="130"/>
    <cellStyle name="Normal 4 4" xfId="131"/>
    <cellStyle name="Normal 4 4 2" xfId="132"/>
    <cellStyle name="Normal 4 5" xfId="133"/>
    <cellStyle name="Normal 4 5 2" xfId="134"/>
    <cellStyle name="Normal 4 6" xfId="135"/>
    <cellStyle name="Normal 4 6 2" xfId="136"/>
    <cellStyle name="Normal 4 7" xfId="137"/>
    <cellStyle name="Normal 4 7 2" xfId="138"/>
    <cellStyle name="Normal 5" xfId="139"/>
    <cellStyle name="Normal 5 10" xfId="140"/>
    <cellStyle name="Normal 5 2" xfId="141"/>
    <cellStyle name="Normal 5 2 2" xfId="142"/>
    <cellStyle name="Normal 5 3" xfId="143"/>
    <cellStyle name="Normal 5 3 2" xfId="144"/>
    <cellStyle name="Normal 5 4" xfId="145"/>
    <cellStyle name="Normal 5 4 2" xfId="146"/>
    <cellStyle name="Normal 5 5" xfId="147"/>
    <cellStyle name="Normal 5 5 2" xfId="148"/>
    <cellStyle name="Normal 5 6" xfId="149"/>
    <cellStyle name="Normal 5 7" xfId="150"/>
    <cellStyle name="Normal 5 8" xfId="151"/>
    <cellStyle name="Normal 5 9" xfId="152"/>
    <cellStyle name="Normal 6" xfId="153"/>
    <cellStyle name="Normal 6 10" xfId="154"/>
    <cellStyle name="Normal 6 2" xfId="155"/>
    <cellStyle name="Normal 6 2 2" xfId="156"/>
    <cellStyle name="Normal 6 3" xfId="157"/>
    <cellStyle name="Normal 6 3 2" xfId="158"/>
    <cellStyle name="Normal 6 4" xfId="159"/>
    <cellStyle name="Normal 6 4 2" xfId="160"/>
    <cellStyle name="Normal 6 5" xfId="161"/>
    <cellStyle name="Normal 6 5 2" xfId="162"/>
    <cellStyle name="Normal 6 6" xfId="163"/>
    <cellStyle name="Normal 6 7" xfId="164"/>
    <cellStyle name="Normal 6 8" xfId="165"/>
    <cellStyle name="Normal 6 9" xfId="166"/>
    <cellStyle name="Normal 7" xfId="167"/>
    <cellStyle name="Normal 7 10" xfId="168"/>
    <cellStyle name="Normal 7 11" xfId="169"/>
    <cellStyle name="Normal 7 12" xfId="170"/>
    <cellStyle name="Normal 7 2" xfId="171"/>
    <cellStyle name="Normal 7 2 2" xfId="172"/>
    <cellStyle name="Normal 7 3" xfId="173"/>
    <cellStyle name="Normal 7 3 2" xfId="174"/>
    <cellStyle name="Normal 7 4" xfId="175"/>
    <cellStyle name="Normal 7 4 2" xfId="176"/>
    <cellStyle name="Normal 7 5" xfId="177"/>
    <cellStyle name="Normal 7 5 2" xfId="178"/>
    <cellStyle name="Normal 7 6" xfId="179"/>
    <cellStyle name="Normal 7 6 2" xfId="180"/>
    <cellStyle name="Normal 7 7" xfId="181"/>
    <cellStyle name="Normal 7 7 2" xfId="182"/>
    <cellStyle name="Normal 7 8" xfId="183"/>
    <cellStyle name="Normal 7 8 2" xfId="184"/>
    <cellStyle name="Normal 7 9" xfId="185"/>
    <cellStyle name="Normal 7 9 2" xfId="186"/>
    <cellStyle name="Normal 8" xfId="187"/>
    <cellStyle name="Normal 8 10" xfId="188"/>
    <cellStyle name="Normal 8 11" xfId="189"/>
    <cellStyle name="Normal 8 2" xfId="190"/>
    <cellStyle name="Normal 8 2 2" xfId="191"/>
    <cellStyle name="Normal 8 3" xfId="192"/>
    <cellStyle name="Normal 8 3 2" xfId="193"/>
    <cellStyle name="Normal 8 4" xfId="194"/>
    <cellStyle name="Normal 8 4 2" xfId="195"/>
    <cellStyle name="Normal 8 5" xfId="196"/>
    <cellStyle name="Normal 8 5 2" xfId="197"/>
    <cellStyle name="Normal 8 6" xfId="198"/>
    <cellStyle name="Normal 8 6 2" xfId="199"/>
    <cellStyle name="Normal 8 7" xfId="200"/>
    <cellStyle name="Normal 8 7 2" xfId="201"/>
    <cellStyle name="Normal 8 8" xfId="202"/>
    <cellStyle name="Normal 8 8 2" xfId="203"/>
    <cellStyle name="Normal 8 9" xfId="204"/>
    <cellStyle name="Normal 9" xfId="205"/>
    <cellStyle name="Normal 9 2" xfId="206"/>
    <cellStyle name="Nota" xfId="207"/>
    <cellStyle name="Percent" xfId="208"/>
    <cellStyle name="Saída" xfId="209"/>
    <cellStyle name="Comma" xfId="210"/>
    <cellStyle name="Comma [0]" xfId="211"/>
    <cellStyle name="Separador de milhares 10" xfId="212"/>
    <cellStyle name="Separador de milhares 10 2" xfId="213"/>
    <cellStyle name="Separador de milhares 10 3" xfId="214"/>
    <cellStyle name="Separador de milhares 10 4" xfId="215"/>
    <cellStyle name="Separador de milhares 10 5" xfId="216"/>
    <cellStyle name="Separador de milhares 11" xfId="217"/>
    <cellStyle name="Separador de milhares 11 2" xfId="218"/>
    <cellStyle name="Separador de milhares 11 3" xfId="219"/>
    <cellStyle name="Separador de milhares 11 4" xfId="220"/>
    <cellStyle name="Separador de milhares 11 5" xfId="221"/>
    <cellStyle name="Separador de milhares 11 6" xfId="222"/>
    <cellStyle name="Separador de milhares 11 7" xfId="223"/>
    <cellStyle name="Separador de milhares 11 8" xfId="224"/>
    <cellStyle name="Separador de milhares 11 9" xfId="225"/>
    <cellStyle name="Separador de milhares 12" xfId="226"/>
    <cellStyle name="Separador de milhares 12 2" xfId="227"/>
    <cellStyle name="Separador de milhares 12 3" xfId="228"/>
    <cellStyle name="Separador de milhares 12 4" xfId="229"/>
    <cellStyle name="Separador de milhares 12 5" xfId="230"/>
    <cellStyle name="Separador de milhares 12 6" xfId="231"/>
    <cellStyle name="Separador de milhares 12 7" xfId="232"/>
    <cellStyle name="Separador de milhares 12 8" xfId="233"/>
    <cellStyle name="Separador de milhares 12 9" xfId="234"/>
    <cellStyle name="Separador de milhares 13" xfId="235"/>
    <cellStyle name="Separador de milhares 13 2" xfId="236"/>
    <cellStyle name="Separador de milhares 13 3" xfId="237"/>
    <cellStyle name="Separador de milhares 13 4" xfId="238"/>
    <cellStyle name="Separador de milhares 13 5" xfId="239"/>
    <cellStyle name="Separador de milhares 13 6" xfId="240"/>
    <cellStyle name="Separador de milhares 13 7" xfId="241"/>
    <cellStyle name="Separador de milhares 13 8" xfId="242"/>
    <cellStyle name="Separador de milhares 13 9" xfId="243"/>
    <cellStyle name="Separador de milhares 14" xfId="244"/>
    <cellStyle name="Separador de milhares 14 2" xfId="245"/>
    <cellStyle name="Separador de milhares 14 3" xfId="246"/>
    <cellStyle name="Separador de milhares 14 4" xfId="247"/>
    <cellStyle name="Separador de milhares 14 5" xfId="248"/>
    <cellStyle name="Separador de milhares 14 6" xfId="249"/>
    <cellStyle name="Separador de milhares 14 7" xfId="250"/>
    <cellStyle name="Separador de milhares 14 8" xfId="251"/>
    <cellStyle name="Separador de milhares 14 9" xfId="252"/>
    <cellStyle name="Separador de milhares 15" xfId="253"/>
    <cellStyle name="Separador de milhares 15 2" xfId="254"/>
    <cellStyle name="Separador de milhares 15 3" xfId="255"/>
    <cellStyle name="Separador de milhares 15 4" xfId="256"/>
    <cellStyle name="Separador de milhares 16" xfId="257"/>
    <cellStyle name="Separador de milhares 16 2" xfId="258"/>
    <cellStyle name="Separador de milhares 16 3" xfId="259"/>
    <cellStyle name="Separador de milhares 17" xfId="260"/>
    <cellStyle name="Separador de milhares 18" xfId="261"/>
    <cellStyle name="Separador de milhares 19" xfId="262"/>
    <cellStyle name="Separador de milhares 2" xfId="263"/>
    <cellStyle name="Separador de milhares 2 10" xfId="264"/>
    <cellStyle name="Separador de milhares 2 11" xfId="265"/>
    <cellStyle name="Separador de milhares 2 12" xfId="266"/>
    <cellStyle name="Separador de milhares 2 13" xfId="267"/>
    <cellStyle name="Separador de milhares 2 14" xfId="268"/>
    <cellStyle name="Separador de milhares 2 2" xfId="269"/>
    <cellStyle name="Separador de milhares 2 3" xfId="270"/>
    <cellStyle name="Separador de milhares 2 4" xfId="271"/>
    <cellStyle name="Separador de milhares 2 5" xfId="272"/>
    <cellStyle name="Separador de milhares 2 6" xfId="273"/>
    <cellStyle name="Separador de milhares 2 7" xfId="274"/>
    <cellStyle name="Separador de milhares 2 8" xfId="275"/>
    <cellStyle name="Separador de milhares 2 9" xfId="276"/>
    <cellStyle name="Separador de milhares 20" xfId="277"/>
    <cellStyle name="Separador de milhares 21" xfId="278"/>
    <cellStyle name="Separador de milhares 22" xfId="279"/>
    <cellStyle name="Separador de milhares 23" xfId="280"/>
    <cellStyle name="Separador de milhares 24" xfId="281"/>
    <cellStyle name="Separador de milhares 25" xfId="282"/>
    <cellStyle name="Separador de milhares 26" xfId="283"/>
    <cellStyle name="Separador de milhares 27" xfId="284"/>
    <cellStyle name="Separador de milhares 28" xfId="285"/>
    <cellStyle name="Separador de milhares 29" xfId="286"/>
    <cellStyle name="Separador de milhares 3" xfId="287"/>
    <cellStyle name="Separador de milhares 30" xfId="288"/>
    <cellStyle name="Separador de milhares 31" xfId="289"/>
    <cellStyle name="Separador de milhares 32" xfId="290"/>
    <cellStyle name="Separador de milhares 33" xfId="291"/>
    <cellStyle name="Separador de milhares 34" xfId="292"/>
    <cellStyle name="Separador de milhares 35" xfId="293"/>
    <cellStyle name="Separador de milhares 36" xfId="294"/>
    <cellStyle name="Separador de milhares 37" xfId="295"/>
    <cellStyle name="Separador de milhares 38" xfId="296"/>
    <cellStyle name="Separador de milhares 39" xfId="297"/>
    <cellStyle name="Separador de milhares 4" xfId="298"/>
    <cellStyle name="Separador de milhares 40" xfId="299"/>
    <cellStyle name="Separador de milhares 41" xfId="300"/>
    <cellStyle name="Separador de milhares 42" xfId="301"/>
    <cellStyle name="Separador de milhares 43" xfId="302"/>
    <cellStyle name="Separador de milhares 44" xfId="303"/>
    <cellStyle name="Separador de milhares 5" xfId="304"/>
    <cellStyle name="Separador de milhares 6" xfId="305"/>
    <cellStyle name="Separador de milhares 7" xfId="306"/>
    <cellStyle name="Separador de milhares 8" xfId="307"/>
    <cellStyle name="Separador de milhares 9" xfId="308"/>
    <cellStyle name="Texto de Aviso" xfId="309"/>
    <cellStyle name="Texto Explicativo" xfId="310"/>
    <cellStyle name="Título" xfId="311"/>
    <cellStyle name="Título 1" xfId="312"/>
    <cellStyle name="Título 2" xfId="313"/>
    <cellStyle name="Título 3" xfId="314"/>
    <cellStyle name="Título 4" xfId="315"/>
    <cellStyle name="Total" xfId="3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66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F90"/>
  <sheetViews>
    <sheetView view="pageBreakPreview" zoomScale="90" zoomScaleSheetLayoutView="90" zoomScalePageLayoutView="0" workbookViewId="0" topLeftCell="K49">
      <selection activeCell="U52" sqref="U52"/>
    </sheetView>
  </sheetViews>
  <sheetFormatPr defaultColWidth="9.140625" defaultRowHeight="15"/>
  <cols>
    <col min="1" max="1" width="14.421875" style="9" customWidth="1"/>
    <col min="2" max="2" width="44.140625" style="9" customWidth="1"/>
    <col min="3" max="3" width="10.28125" style="13" bestFit="1" customWidth="1"/>
    <col min="4" max="4" width="13.421875" style="9" bestFit="1" customWidth="1"/>
    <col min="5" max="5" width="11.421875" style="10" customWidth="1"/>
    <col min="6" max="6" width="14.8515625" style="10" bestFit="1" customWidth="1"/>
    <col min="7" max="7" width="13.28125" style="9" bestFit="1" customWidth="1"/>
    <col min="8" max="8" width="17.140625" style="22" customWidth="1"/>
    <col min="9" max="9" width="9.8515625" style="11" bestFit="1" customWidth="1"/>
    <col min="10" max="10" width="9.421875" style="23" customWidth="1"/>
    <col min="11" max="11" width="7.140625" style="13" customWidth="1"/>
    <col min="12" max="12" width="11.421875" style="113" customWidth="1"/>
    <col min="13" max="13" width="13.7109375" style="31" customWidth="1"/>
    <col min="14" max="14" width="11.00390625" style="11" customWidth="1"/>
    <col min="15" max="15" width="10.57421875" style="63" bestFit="1" customWidth="1"/>
    <col min="16" max="16" width="12.140625" style="25" customWidth="1"/>
    <col min="17" max="17" width="9.7109375" style="24" customWidth="1"/>
    <col min="18" max="18" width="14.8515625" style="65" bestFit="1" customWidth="1"/>
    <col min="19" max="20" width="11.57421875" style="112" customWidth="1"/>
    <col min="21" max="21" width="12.8515625" style="112" customWidth="1"/>
    <col min="22" max="22" width="8.57421875" style="11" customWidth="1"/>
    <col min="23" max="16384" width="9.140625" style="9" customWidth="1"/>
  </cols>
  <sheetData>
    <row r="1" spans="1:22" s="47" customFormat="1" ht="10.5">
      <c r="A1" s="210" t="s">
        <v>0</v>
      </c>
      <c r="B1" s="210"/>
      <c r="C1" s="210"/>
      <c r="D1" s="210"/>
      <c r="E1" s="210"/>
      <c r="F1" s="210"/>
      <c r="G1" s="210"/>
      <c r="H1" s="210"/>
      <c r="I1" s="210"/>
      <c r="J1" s="210"/>
      <c r="K1" s="210"/>
      <c r="L1" s="210"/>
      <c r="M1" s="210"/>
      <c r="N1" s="210"/>
      <c r="O1" s="210"/>
      <c r="P1" s="210"/>
      <c r="Q1" s="210"/>
      <c r="R1" s="210"/>
      <c r="S1" s="210"/>
      <c r="T1" s="210"/>
      <c r="U1" s="210"/>
      <c r="V1" s="209"/>
    </row>
    <row r="2" spans="1:22" s="47" customFormat="1" ht="10.5">
      <c r="A2" s="210" t="s">
        <v>113</v>
      </c>
      <c r="B2" s="210"/>
      <c r="C2" s="210"/>
      <c r="D2" s="210"/>
      <c r="E2" s="210"/>
      <c r="F2" s="210"/>
      <c r="G2" s="209"/>
      <c r="H2" s="209"/>
      <c r="I2" s="209"/>
      <c r="J2" s="209"/>
      <c r="K2" s="209"/>
      <c r="L2" s="209"/>
      <c r="M2" s="209"/>
      <c r="N2" s="209"/>
      <c r="O2" s="209"/>
      <c r="P2" s="209"/>
      <c r="Q2" s="209"/>
      <c r="R2" s="209"/>
      <c r="S2" s="209"/>
      <c r="T2" s="209"/>
      <c r="U2" s="209"/>
      <c r="V2" s="209"/>
    </row>
    <row r="3" spans="1:22" s="47" customFormat="1" ht="10.5">
      <c r="A3" s="210" t="s">
        <v>84</v>
      </c>
      <c r="B3" s="210"/>
      <c r="C3" s="210"/>
      <c r="D3" s="210"/>
      <c r="E3" s="210"/>
      <c r="F3" s="210"/>
      <c r="G3" s="209"/>
      <c r="H3" s="209"/>
      <c r="I3" s="209"/>
      <c r="J3" s="209"/>
      <c r="K3" s="209"/>
      <c r="L3" s="209"/>
      <c r="M3" s="209"/>
      <c r="N3" s="209"/>
      <c r="O3" s="209"/>
      <c r="P3" s="209"/>
      <c r="Q3" s="209"/>
      <c r="R3" s="209"/>
      <c r="S3" s="209"/>
      <c r="T3" s="209"/>
      <c r="U3" s="209"/>
      <c r="V3" s="209"/>
    </row>
    <row r="4" spans="1:22" s="47" customFormat="1" ht="10.5">
      <c r="A4" s="126" t="s">
        <v>273</v>
      </c>
      <c r="B4" s="126"/>
      <c r="C4" s="43"/>
      <c r="D4" s="48"/>
      <c r="E4" s="50"/>
      <c r="F4" s="209"/>
      <c r="G4" s="209"/>
      <c r="H4" s="209"/>
      <c r="I4" s="49"/>
      <c r="J4" s="206"/>
      <c r="K4" s="206"/>
      <c r="L4" s="206"/>
      <c r="M4" s="206"/>
      <c r="N4" s="206"/>
      <c r="O4" s="206"/>
      <c r="P4" s="50"/>
      <c r="Q4" s="204" t="s">
        <v>112</v>
      </c>
      <c r="R4" s="204"/>
      <c r="S4" s="204"/>
      <c r="T4" s="204"/>
      <c r="U4" s="204"/>
      <c r="V4" s="204"/>
    </row>
    <row r="5" spans="1:22" s="46" customFormat="1" ht="10.5">
      <c r="A5" s="213" t="s">
        <v>123</v>
      </c>
      <c r="B5" s="213"/>
      <c r="C5" s="213"/>
      <c r="D5" s="123"/>
      <c r="E5" s="51"/>
      <c r="F5" s="208"/>
      <c r="G5" s="208"/>
      <c r="H5" s="208"/>
      <c r="I5" s="49"/>
      <c r="J5" s="211"/>
      <c r="K5" s="211"/>
      <c r="L5" s="211"/>
      <c r="M5" s="211"/>
      <c r="N5" s="211"/>
      <c r="O5" s="211"/>
      <c r="P5" s="110"/>
      <c r="Q5" s="208" t="s">
        <v>2</v>
      </c>
      <c r="R5" s="208"/>
      <c r="S5" s="208"/>
      <c r="T5" s="208"/>
      <c r="U5" s="208"/>
      <c r="V5" s="208"/>
    </row>
    <row r="6" spans="1:22" s="36" customFormat="1" ht="10.5">
      <c r="A6" s="202" t="s">
        <v>4</v>
      </c>
      <c r="B6" s="202" t="s">
        <v>5</v>
      </c>
      <c r="C6" s="202" t="s">
        <v>6</v>
      </c>
      <c r="D6" s="202"/>
      <c r="E6" s="202"/>
      <c r="F6" s="202"/>
      <c r="G6" s="202" t="s">
        <v>7</v>
      </c>
      <c r="H6" s="202"/>
      <c r="I6" s="212" t="s">
        <v>8</v>
      </c>
      <c r="J6" s="212"/>
      <c r="K6" s="212"/>
      <c r="L6" s="212"/>
      <c r="M6" s="212"/>
      <c r="N6" s="203" t="s">
        <v>9</v>
      </c>
      <c r="O6" s="203"/>
      <c r="P6" s="205" t="s">
        <v>10</v>
      </c>
      <c r="Q6" s="207" t="s">
        <v>11</v>
      </c>
      <c r="R6" s="207"/>
      <c r="S6" s="207"/>
      <c r="T6" s="207"/>
      <c r="U6" s="207"/>
      <c r="V6" s="203" t="s">
        <v>12</v>
      </c>
    </row>
    <row r="7" spans="1:22" s="35" customFormat="1" ht="42.75">
      <c r="A7" s="202"/>
      <c r="B7" s="202"/>
      <c r="C7" s="121" t="s">
        <v>13</v>
      </c>
      <c r="D7" s="121" t="s">
        <v>14</v>
      </c>
      <c r="E7" s="52" t="s">
        <v>15</v>
      </c>
      <c r="F7" s="52" t="s">
        <v>16</v>
      </c>
      <c r="G7" s="121" t="s">
        <v>17</v>
      </c>
      <c r="H7" s="121" t="s">
        <v>18</v>
      </c>
      <c r="I7" s="124" t="s">
        <v>13</v>
      </c>
      <c r="J7" s="53" t="s">
        <v>19</v>
      </c>
      <c r="K7" s="122" t="s">
        <v>20</v>
      </c>
      <c r="L7" s="111" t="s">
        <v>21</v>
      </c>
      <c r="M7" s="29" t="s">
        <v>22</v>
      </c>
      <c r="N7" s="124" t="s">
        <v>23</v>
      </c>
      <c r="O7" s="62" t="s">
        <v>24</v>
      </c>
      <c r="P7" s="205"/>
      <c r="Q7" s="125" t="s">
        <v>25</v>
      </c>
      <c r="R7" s="62" t="s">
        <v>26</v>
      </c>
      <c r="S7" s="111" t="s">
        <v>27</v>
      </c>
      <c r="T7" s="111" t="s">
        <v>28</v>
      </c>
      <c r="U7" s="111" t="s">
        <v>29</v>
      </c>
      <c r="V7" s="203"/>
    </row>
    <row r="8" spans="1:35" s="20" customFormat="1" ht="21">
      <c r="A8" s="19" t="s">
        <v>51</v>
      </c>
      <c r="B8" s="19" t="s">
        <v>52</v>
      </c>
      <c r="C8" s="19">
        <v>0</v>
      </c>
      <c r="D8" s="127">
        <v>0</v>
      </c>
      <c r="E8" s="127">
        <v>0</v>
      </c>
      <c r="F8" s="127">
        <v>0</v>
      </c>
      <c r="G8" s="19" t="s">
        <v>44</v>
      </c>
      <c r="H8" s="19" t="s">
        <v>50</v>
      </c>
      <c r="I8" s="17" t="s">
        <v>53</v>
      </c>
      <c r="J8" s="32">
        <v>42769</v>
      </c>
      <c r="K8" s="17">
        <v>365</v>
      </c>
      <c r="L8" s="127">
        <v>38286283.02</v>
      </c>
      <c r="M8" s="32">
        <f aca="true" t="shared" si="0" ref="M8:M32">J8+K8+N8</f>
        <v>44776</v>
      </c>
      <c r="N8" s="17">
        <f>1460+182</f>
        <v>1642</v>
      </c>
      <c r="O8" s="127">
        <f>165526211.35+24483974.67</f>
        <v>190010186.01999998</v>
      </c>
      <c r="P8" s="127">
        <f>6210860.26+2235403.04</f>
        <v>8446263.3</v>
      </c>
      <c r="Q8" s="17" t="s">
        <v>30</v>
      </c>
      <c r="R8" s="127">
        <f>155264320.45+8800458.81</f>
        <v>164064779.26</v>
      </c>
      <c r="S8" s="127">
        <v>8633140.17</v>
      </c>
      <c r="T8" s="16">
        <f aca="true" t="shared" si="1" ref="T8:T32">S8</f>
        <v>8633140.17</v>
      </c>
      <c r="U8" s="127">
        <v>163897460.62</v>
      </c>
      <c r="V8" s="128" t="s">
        <v>31</v>
      </c>
      <c r="W8" s="119"/>
      <c r="AI8" s="119"/>
    </row>
    <row r="9" spans="1:35" s="20" customFormat="1" ht="21">
      <c r="A9" s="19" t="s">
        <v>55</v>
      </c>
      <c r="B9" s="19" t="s">
        <v>56</v>
      </c>
      <c r="C9" s="19">
        <v>0</v>
      </c>
      <c r="D9" s="127">
        <v>0</v>
      </c>
      <c r="E9" s="127">
        <v>0</v>
      </c>
      <c r="F9" s="127">
        <v>0</v>
      </c>
      <c r="G9" s="19" t="s">
        <v>57</v>
      </c>
      <c r="H9" s="19" t="s">
        <v>168</v>
      </c>
      <c r="I9" s="17" t="s">
        <v>58</v>
      </c>
      <c r="J9" s="32">
        <v>42772</v>
      </c>
      <c r="K9" s="17">
        <v>365</v>
      </c>
      <c r="L9" s="127">
        <v>1777584.96</v>
      </c>
      <c r="M9" s="32">
        <f t="shared" si="0"/>
        <v>44597</v>
      </c>
      <c r="N9" s="17">
        <v>1460</v>
      </c>
      <c r="O9" s="127">
        <v>8848759.44</v>
      </c>
      <c r="P9" s="127">
        <v>88092.12</v>
      </c>
      <c r="Q9" s="17" t="s">
        <v>30</v>
      </c>
      <c r="R9" s="127">
        <v>6723678.390000001</v>
      </c>
      <c r="S9" s="127">
        <v>31990.75</v>
      </c>
      <c r="T9" s="16">
        <f t="shared" si="1"/>
        <v>31990.75</v>
      </c>
      <c r="U9" s="127">
        <v>6631887.909999998</v>
      </c>
      <c r="V9" s="128" t="s">
        <v>188</v>
      </c>
      <c r="W9" s="119"/>
      <c r="AI9" s="119"/>
    </row>
    <row r="10" spans="1:35" s="20" customFormat="1" ht="21">
      <c r="A10" s="19" t="s">
        <v>51</v>
      </c>
      <c r="B10" s="19" t="s">
        <v>52</v>
      </c>
      <c r="C10" s="19">
        <v>0</v>
      </c>
      <c r="D10" s="127">
        <v>0</v>
      </c>
      <c r="E10" s="127">
        <v>0</v>
      </c>
      <c r="F10" s="127">
        <v>0</v>
      </c>
      <c r="G10" s="19" t="s">
        <v>44</v>
      </c>
      <c r="H10" s="19" t="s">
        <v>50</v>
      </c>
      <c r="I10" s="17" t="s">
        <v>60</v>
      </c>
      <c r="J10" s="32">
        <v>42769</v>
      </c>
      <c r="K10" s="17">
        <v>365</v>
      </c>
      <c r="L10" s="127">
        <v>8888698.49</v>
      </c>
      <c r="M10" s="32">
        <f t="shared" si="0"/>
        <v>44776</v>
      </c>
      <c r="N10" s="17">
        <f>1460+182</f>
        <v>1642</v>
      </c>
      <c r="O10" s="127">
        <f>38166300.71+5683857.86</f>
        <v>43850158.57</v>
      </c>
      <c r="P10" s="127">
        <v>1440957.39</v>
      </c>
      <c r="Q10" s="17" t="s">
        <v>30</v>
      </c>
      <c r="R10" s="127">
        <f>36515984.95+2242659.59</f>
        <v>38758644.54000001</v>
      </c>
      <c r="S10" s="127">
        <v>2242659.59</v>
      </c>
      <c r="T10" s="16">
        <f t="shared" si="1"/>
        <v>2242659.59</v>
      </c>
      <c r="U10" s="127">
        <v>38758717.82000001</v>
      </c>
      <c r="V10" s="128" t="s">
        <v>31</v>
      </c>
      <c r="W10" s="119"/>
      <c r="AI10" s="119"/>
    </row>
    <row r="11" spans="1:35" s="20" customFormat="1" ht="21">
      <c r="A11" s="19" t="s">
        <v>75</v>
      </c>
      <c r="B11" s="19" t="s">
        <v>76</v>
      </c>
      <c r="C11" s="19">
        <v>0</v>
      </c>
      <c r="D11" s="127">
        <v>0</v>
      </c>
      <c r="E11" s="127">
        <v>0</v>
      </c>
      <c r="F11" s="127">
        <v>0</v>
      </c>
      <c r="G11" s="19" t="s">
        <v>36</v>
      </c>
      <c r="H11" s="19" t="s">
        <v>77</v>
      </c>
      <c r="I11" s="17" t="s">
        <v>78</v>
      </c>
      <c r="J11" s="32">
        <v>42814</v>
      </c>
      <c r="K11" s="17">
        <v>365</v>
      </c>
      <c r="L11" s="127">
        <v>3423770.88</v>
      </c>
      <c r="M11" s="32">
        <f t="shared" si="0"/>
        <v>44959</v>
      </c>
      <c r="N11" s="17">
        <f>1415+365</f>
        <v>1780</v>
      </c>
      <c r="O11" s="127">
        <f>18506015.4+4978561.8</f>
        <v>23484577.2</v>
      </c>
      <c r="P11" s="127">
        <v>559078.56</v>
      </c>
      <c r="Q11" s="17" t="s">
        <v>30</v>
      </c>
      <c r="R11" s="127">
        <f>20161099.38+589433.02</f>
        <v>20750532.4</v>
      </c>
      <c r="S11" s="127">
        <v>589433.02</v>
      </c>
      <c r="T11" s="16">
        <f t="shared" si="1"/>
        <v>589433.02</v>
      </c>
      <c r="U11" s="127">
        <v>20750532.4</v>
      </c>
      <c r="V11" s="128" t="s">
        <v>31</v>
      </c>
      <c r="W11" s="119"/>
      <c r="AI11" s="119"/>
    </row>
    <row r="12" spans="1:35" s="20" customFormat="1" ht="21">
      <c r="A12" s="19" t="s">
        <v>164</v>
      </c>
      <c r="B12" s="19" t="s">
        <v>65</v>
      </c>
      <c r="C12" s="19">
        <v>0</v>
      </c>
      <c r="D12" s="127">
        <v>0</v>
      </c>
      <c r="E12" s="127">
        <v>0</v>
      </c>
      <c r="F12" s="127">
        <v>0</v>
      </c>
      <c r="G12" s="19" t="s">
        <v>36</v>
      </c>
      <c r="H12" s="19" t="s">
        <v>37</v>
      </c>
      <c r="I12" s="17" t="s">
        <v>64</v>
      </c>
      <c r="J12" s="32">
        <v>42795</v>
      </c>
      <c r="K12" s="17">
        <v>365</v>
      </c>
      <c r="L12" s="127">
        <v>1223866.8</v>
      </c>
      <c r="M12" s="32">
        <f t="shared" si="0"/>
        <v>44620</v>
      </c>
      <c r="N12" s="17">
        <v>1460</v>
      </c>
      <c r="O12" s="127">
        <v>4923839.5200000005</v>
      </c>
      <c r="P12" s="127">
        <v>81998.64</v>
      </c>
      <c r="Q12" s="17" t="s">
        <v>30</v>
      </c>
      <c r="R12" s="127">
        <f>5919102.33+219564.08</f>
        <v>6138666.41</v>
      </c>
      <c r="S12" s="127">
        <v>219564.08</v>
      </c>
      <c r="T12" s="16">
        <f t="shared" si="1"/>
        <v>219564.08</v>
      </c>
      <c r="U12" s="127">
        <v>6138666.410000001</v>
      </c>
      <c r="V12" s="128" t="s">
        <v>31</v>
      </c>
      <c r="W12" s="119"/>
      <c r="AI12" s="119"/>
    </row>
    <row r="13" spans="1:35" s="20" customFormat="1" ht="31.5">
      <c r="A13" s="19" t="s">
        <v>81</v>
      </c>
      <c r="B13" s="19" t="s">
        <v>80</v>
      </c>
      <c r="C13" s="19">
        <v>0</v>
      </c>
      <c r="D13" s="127">
        <v>0</v>
      </c>
      <c r="E13" s="127">
        <v>0</v>
      </c>
      <c r="F13" s="127">
        <v>0</v>
      </c>
      <c r="G13" s="19" t="s">
        <v>88</v>
      </c>
      <c r="H13" s="19" t="s">
        <v>48</v>
      </c>
      <c r="I13" s="17" t="s">
        <v>79</v>
      </c>
      <c r="J13" s="32">
        <v>42940</v>
      </c>
      <c r="K13" s="17">
        <v>365</v>
      </c>
      <c r="L13" s="127">
        <v>11944999.92</v>
      </c>
      <c r="M13" s="32">
        <f t="shared" si="0"/>
        <v>44765</v>
      </c>
      <c r="N13" s="17">
        <v>1460</v>
      </c>
      <c r="O13" s="127">
        <v>60684020.43</v>
      </c>
      <c r="P13" s="127">
        <v>1492079.88</v>
      </c>
      <c r="Q13" s="17" t="s">
        <v>30</v>
      </c>
      <c r="R13" s="127">
        <f>40855418.08+2498941.87</f>
        <v>43354359.949999996</v>
      </c>
      <c r="S13" s="127">
        <v>1249545.1</v>
      </c>
      <c r="T13" s="16">
        <f t="shared" si="1"/>
        <v>1249545.1</v>
      </c>
      <c r="U13" s="127">
        <v>42104963.18000001</v>
      </c>
      <c r="V13" s="128" t="s">
        <v>31</v>
      </c>
      <c r="W13" s="119"/>
      <c r="AI13" s="119"/>
    </row>
    <row r="14" spans="1:35" s="20" customFormat="1" ht="31.5">
      <c r="A14" s="19" t="s">
        <v>97</v>
      </c>
      <c r="B14" s="19" t="s">
        <v>96</v>
      </c>
      <c r="C14" s="19" t="s">
        <v>153</v>
      </c>
      <c r="D14" s="127" t="s">
        <v>108</v>
      </c>
      <c r="E14" s="127">
        <v>184899815.11999997</v>
      </c>
      <c r="F14" s="127">
        <v>0</v>
      </c>
      <c r="G14" s="19" t="s">
        <v>61</v>
      </c>
      <c r="H14" s="19" t="s">
        <v>98</v>
      </c>
      <c r="I14" s="17" t="s">
        <v>99</v>
      </c>
      <c r="J14" s="32">
        <v>43571</v>
      </c>
      <c r="K14" s="17">
        <v>1125</v>
      </c>
      <c r="L14" s="127">
        <v>10309281.7</v>
      </c>
      <c r="M14" s="32">
        <f t="shared" si="0"/>
        <v>44696</v>
      </c>
      <c r="N14" s="17">
        <v>0</v>
      </c>
      <c r="O14" s="127">
        <v>0</v>
      </c>
      <c r="P14" s="127">
        <f>1659020.11+1141546.31</f>
        <v>2800566.42</v>
      </c>
      <c r="Q14" s="17" t="s">
        <v>49</v>
      </c>
      <c r="R14" s="127">
        <f>4474449.06+913381.71</f>
        <v>5387830.77</v>
      </c>
      <c r="S14" s="127">
        <v>423975.98</v>
      </c>
      <c r="T14" s="16">
        <f t="shared" si="1"/>
        <v>423975.98</v>
      </c>
      <c r="U14" s="127">
        <v>4898425.040000001</v>
      </c>
      <c r="V14" s="128" t="s">
        <v>31</v>
      </c>
      <c r="W14" s="119"/>
      <c r="AI14" s="119"/>
    </row>
    <row r="15" spans="1:35" s="20" customFormat="1" ht="31.5">
      <c r="A15" s="19" t="s">
        <v>97</v>
      </c>
      <c r="B15" s="19" t="s">
        <v>102</v>
      </c>
      <c r="C15" s="19" t="s">
        <v>153</v>
      </c>
      <c r="D15" s="127" t="s">
        <v>108</v>
      </c>
      <c r="E15" s="127">
        <v>184899815.11999997</v>
      </c>
      <c r="F15" s="127">
        <v>0</v>
      </c>
      <c r="G15" s="19" t="s">
        <v>61</v>
      </c>
      <c r="H15" s="19" t="s">
        <v>98</v>
      </c>
      <c r="I15" s="17" t="s">
        <v>100</v>
      </c>
      <c r="J15" s="32">
        <v>43571</v>
      </c>
      <c r="K15" s="17">
        <v>1125</v>
      </c>
      <c r="L15" s="127">
        <v>11446659.06</v>
      </c>
      <c r="M15" s="32">
        <f t="shared" si="0"/>
        <v>44696</v>
      </c>
      <c r="N15" s="17">
        <v>0</v>
      </c>
      <c r="O15" s="127">
        <v>5430.8</v>
      </c>
      <c r="P15" s="127">
        <v>1849376.19</v>
      </c>
      <c r="Q15" s="17" t="s">
        <v>49</v>
      </c>
      <c r="R15" s="127">
        <f>4436181.95+1070533.83</f>
        <v>5506715.78</v>
      </c>
      <c r="S15" s="127">
        <v>458539.72</v>
      </c>
      <c r="T15" s="16">
        <f t="shared" si="1"/>
        <v>458539.72</v>
      </c>
      <c r="U15" s="127">
        <v>4894721.669999999</v>
      </c>
      <c r="V15" s="128" t="s">
        <v>31</v>
      </c>
      <c r="W15" s="119"/>
      <c r="AI15" s="119"/>
    </row>
    <row r="16" spans="1:35" s="20" customFormat="1" ht="31.5">
      <c r="A16" s="19" t="s">
        <v>97</v>
      </c>
      <c r="B16" s="19" t="s">
        <v>101</v>
      </c>
      <c r="C16" s="19" t="s">
        <v>153</v>
      </c>
      <c r="D16" s="127" t="s">
        <v>108</v>
      </c>
      <c r="E16" s="127">
        <v>184899815.11999997</v>
      </c>
      <c r="F16" s="127">
        <v>0</v>
      </c>
      <c r="G16" s="19" t="s">
        <v>61</v>
      </c>
      <c r="H16" s="19" t="s">
        <v>98</v>
      </c>
      <c r="I16" s="17" t="s">
        <v>103</v>
      </c>
      <c r="J16" s="32">
        <v>43571</v>
      </c>
      <c r="K16" s="17">
        <v>1125</v>
      </c>
      <c r="L16" s="127">
        <v>11869839.78</v>
      </c>
      <c r="M16" s="32">
        <f t="shared" si="0"/>
        <v>44696</v>
      </c>
      <c r="N16" s="17">
        <v>0</v>
      </c>
      <c r="O16" s="127">
        <v>310156</v>
      </c>
      <c r="P16" s="127">
        <f>1917782.34+1314967.41</f>
        <v>3232749.75</v>
      </c>
      <c r="Q16" s="17" t="s">
        <v>49</v>
      </c>
      <c r="R16" s="127">
        <f>6866633.27+916219.52</f>
        <v>7782852.789999999</v>
      </c>
      <c r="S16" s="127">
        <v>423943.03</v>
      </c>
      <c r="T16" s="16">
        <f t="shared" si="1"/>
        <v>423943.03</v>
      </c>
      <c r="U16" s="127">
        <v>7290576.300000001</v>
      </c>
      <c r="V16" s="128" t="s">
        <v>31</v>
      </c>
      <c r="W16" s="119"/>
      <c r="AI16" s="119"/>
    </row>
    <row r="17" spans="1:35" s="20" customFormat="1" ht="42.75">
      <c r="A17" s="19" t="s">
        <v>111</v>
      </c>
      <c r="B17" s="19" t="s">
        <v>109</v>
      </c>
      <c r="C17" s="19">
        <v>0</v>
      </c>
      <c r="D17" s="127">
        <v>0</v>
      </c>
      <c r="E17" s="127">
        <v>0</v>
      </c>
      <c r="F17" s="127">
        <v>0</v>
      </c>
      <c r="G17" s="19" t="s">
        <v>35</v>
      </c>
      <c r="H17" s="19" t="s">
        <v>66</v>
      </c>
      <c r="I17" s="17" t="s">
        <v>110</v>
      </c>
      <c r="J17" s="32">
        <v>43633</v>
      </c>
      <c r="K17" s="17">
        <v>395</v>
      </c>
      <c r="L17" s="127">
        <v>12390281.28</v>
      </c>
      <c r="M17" s="32">
        <f t="shared" si="0"/>
        <v>44758</v>
      </c>
      <c r="N17" s="17">
        <v>730</v>
      </c>
      <c r="O17" s="127">
        <v>28104956.880000003</v>
      </c>
      <c r="P17" s="127">
        <v>2473711.68</v>
      </c>
      <c r="Q17" s="17" t="s">
        <v>30</v>
      </c>
      <c r="R17" s="127">
        <f>20670546.94+1826891.1</f>
        <v>22497438.040000003</v>
      </c>
      <c r="S17" s="127">
        <v>1609401.98</v>
      </c>
      <c r="T17" s="16">
        <f t="shared" si="1"/>
        <v>1609401.98</v>
      </c>
      <c r="U17" s="127">
        <v>22279948.92</v>
      </c>
      <c r="V17" s="128" t="s">
        <v>31</v>
      </c>
      <c r="W17" s="119"/>
      <c r="AI17" s="119"/>
    </row>
    <row r="18" spans="1:35" s="20" customFormat="1" ht="53.25">
      <c r="A18" s="19" t="s">
        <v>116</v>
      </c>
      <c r="B18" s="19" t="s">
        <v>115</v>
      </c>
      <c r="C18" s="19">
        <v>0</v>
      </c>
      <c r="D18" s="127">
        <v>0</v>
      </c>
      <c r="E18" s="127">
        <v>0</v>
      </c>
      <c r="F18" s="127">
        <v>0</v>
      </c>
      <c r="G18" s="19" t="s">
        <v>36</v>
      </c>
      <c r="H18" s="19" t="s">
        <v>114</v>
      </c>
      <c r="I18" s="17" t="s">
        <v>117</v>
      </c>
      <c r="J18" s="32">
        <v>43769</v>
      </c>
      <c r="K18" s="17">
        <v>760</v>
      </c>
      <c r="L18" s="127">
        <v>2584195.6</v>
      </c>
      <c r="M18" s="32">
        <f t="shared" si="0"/>
        <v>44619</v>
      </c>
      <c r="N18" s="17">
        <v>90</v>
      </c>
      <c r="O18" s="127">
        <v>327163.7</v>
      </c>
      <c r="P18" s="127">
        <v>-44558.22</v>
      </c>
      <c r="Q18" s="17" t="s">
        <v>30</v>
      </c>
      <c r="R18" s="127">
        <f>1985756.23+65458.07</f>
        <v>2051214.3</v>
      </c>
      <c r="S18" s="127">
        <v>65458.07</v>
      </c>
      <c r="T18" s="16">
        <f t="shared" si="1"/>
        <v>65458.07</v>
      </c>
      <c r="U18" s="127">
        <v>2051214.3000000003</v>
      </c>
      <c r="V18" s="128" t="s">
        <v>188</v>
      </c>
      <c r="W18" s="119"/>
      <c r="AI18" s="119"/>
    </row>
    <row r="19" spans="1:35" s="20" customFormat="1" ht="21">
      <c r="A19" s="19" t="s">
        <v>124</v>
      </c>
      <c r="B19" s="19" t="s">
        <v>125</v>
      </c>
      <c r="C19" s="19">
        <v>0</v>
      </c>
      <c r="D19" s="127">
        <v>0</v>
      </c>
      <c r="E19" s="127">
        <v>0</v>
      </c>
      <c r="F19" s="127">
        <v>0</v>
      </c>
      <c r="G19" s="19" t="s">
        <v>94</v>
      </c>
      <c r="H19" s="19" t="s">
        <v>95</v>
      </c>
      <c r="I19" s="17" t="s">
        <v>126</v>
      </c>
      <c r="J19" s="32">
        <v>44007</v>
      </c>
      <c r="K19" s="17">
        <v>760</v>
      </c>
      <c r="L19" s="127">
        <v>1152030.38</v>
      </c>
      <c r="M19" s="32">
        <f t="shared" si="0"/>
        <v>44767</v>
      </c>
      <c r="N19" s="17">
        <v>0</v>
      </c>
      <c r="O19" s="127">
        <v>0</v>
      </c>
      <c r="P19" s="127">
        <v>0</v>
      </c>
      <c r="Q19" s="17" t="s">
        <v>30</v>
      </c>
      <c r="R19" s="127">
        <f>668925.52+90735.72</f>
        <v>759661.24</v>
      </c>
      <c r="S19" s="127">
        <v>90735.72</v>
      </c>
      <c r="T19" s="16">
        <f t="shared" si="1"/>
        <v>90735.72</v>
      </c>
      <c r="U19" s="127">
        <v>759661.24</v>
      </c>
      <c r="V19" s="128" t="s">
        <v>31</v>
      </c>
      <c r="W19" s="119"/>
      <c r="AI19" s="119"/>
    </row>
    <row r="20" spans="1:35" s="20" customFormat="1" ht="31.5">
      <c r="A20" s="19" t="s">
        <v>127</v>
      </c>
      <c r="B20" s="19" t="s">
        <v>128</v>
      </c>
      <c r="C20" s="19">
        <v>0</v>
      </c>
      <c r="D20" s="127">
        <v>0</v>
      </c>
      <c r="E20" s="127">
        <v>0</v>
      </c>
      <c r="F20" s="127">
        <v>0</v>
      </c>
      <c r="G20" s="19" t="s">
        <v>61</v>
      </c>
      <c r="H20" s="19" t="s">
        <v>98</v>
      </c>
      <c r="I20" s="17" t="s">
        <v>129</v>
      </c>
      <c r="J20" s="32">
        <v>43997</v>
      </c>
      <c r="K20" s="17">
        <v>1125</v>
      </c>
      <c r="L20" s="127">
        <v>17094320.97</v>
      </c>
      <c r="M20" s="32">
        <f t="shared" si="0"/>
        <v>45122</v>
      </c>
      <c r="N20" s="17">
        <v>0</v>
      </c>
      <c r="O20" s="127">
        <f>1812464.42+1198963.28</f>
        <v>3011427.7</v>
      </c>
      <c r="P20" s="127">
        <v>2353695.85</v>
      </c>
      <c r="Q20" s="17" t="s">
        <v>30</v>
      </c>
      <c r="R20" s="127">
        <f>11124492.25+1246752.65</f>
        <v>12371244.9</v>
      </c>
      <c r="S20" s="127">
        <v>673777.29</v>
      </c>
      <c r="T20" s="16">
        <f t="shared" si="1"/>
        <v>673777.29</v>
      </c>
      <c r="U20" s="127">
        <v>11798270.54</v>
      </c>
      <c r="V20" s="128" t="s">
        <v>31</v>
      </c>
      <c r="W20" s="119"/>
      <c r="AI20" s="119"/>
    </row>
    <row r="21" spans="1:35" s="20" customFormat="1" ht="21">
      <c r="A21" s="19" t="s">
        <v>127</v>
      </c>
      <c r="B21" s="19" t="s">
        <v>130</v>
      </c>
      <c r="C21" s="19">
        <v>0</v>
      </c>
      <c r="D21" s="127">
        <v>0</v>
      </c>
      <c r="E21" s="127">
        <v>0</v>
      </c>
      <c r="F21" s="127">
        <v>0</v>
      </c>
      <c r="G21" s="19" t="s">
        <v>33</v>
      </c>
      <c r="H21" s="19" t="s">
        <v>91</v>
      </c>
      <c r="I21" s="17" t="s">
        <v>131</v>
      </c>
      <c r="J21" s="32">
        <v>43997</v>
      </c>
      <c r="K21" s="17">
        <v>1125</v>
      </c>
      <c r="L21" s="127">
        <v>18840293.85</v>
      </c>
      <c r="M21" s="32">
        <f t="shared" si="0"/>
        <v>45122</v>
      </c>
      <c r="N21" s="17">
        <v>0</v>
      </c>
      <c r="O21" s="127">
        <v>3429757.7</v>
      </c>
      <c r="P21" s="127">
        <v>2594739.99</v>
      </c>
      <c r="Q21" s="17" t="s">
        <v>30</v>
      </c>
      <c r="R21" s="127">
        <f>11235857.03+1600362.39</f>
        <v>12836219.42</v>
      </c>
      <c r="S21" s="127">
        <v>1230404.1900000002</v>
      </c>
      <c r="T21" s="16">
        <f t="shared" si="1"/>
        <v>1230404.1900000002</v>
      </c>
      <c r="U21" s="127">
        <v>12466261.219999999</v>
      </c>
      <c r="V21" s="128" t="s">
        <v>31</v>
      </c>
      <c r="W21" s="119"/>
      <c r="AI21" s="119"/>
    </row>
    <row r="22" spans="1:35" s="20" customFormat="1" ht="31.5">
      <c r="A22" s="19" t="s">
        <v>134</v>
      </c>
      <c r="B22" s="19" t="s">
        <v>132</v>
      </c>
      <c r="C22" s="19">
        <v>0</v>
      </c>
      <c r="D22" s="127">
        <v>0</v>
      </c>
      <c r="E22" s="127">
        <v>0</v>
      </c>
      <c r="F22" s="127">
        <v>0</v>
      </c>
      <c r="G22" s="19" t="s">
        <v>38</v>
      </c>
      <c r="H22" s="19" t="s">
        <v>39</v>
      </c>
      <c r="I22" s="17" t="s">
        <v>133</v>
      </c>
      <c r="J22" s="32">
        <v>44007</v>
      </c>
      <c r="K22" s="17">
        <v>365</v>
      </c>
      <c r="L22" s="127">
        <v>251180</v>
      </c>
      <c r="M22" s="32">
        <f t="shared" si="0"/>
        <v>44737</v>
      </c>
      <c r="N22" s="17">
        <v>365</v>
      </c>
      <c r="O22" s="127">
        <v>251180</v>
      </c>
      <c r="P22" s="127">
        <v>0</v>
      </c>
      <c r="Q22" s="17" t="s">
        <v>30</v>
      </c>
      <c r="R22" s="127">
        <f>298831+31040</f>
        <v>329871</v>
      </c>
      <c r="S22" s="127">
        <v>31040</v>
      </c>
      <c r="T22" s="16">
        <f t="shared" si="1"/>
        <v>31040</v>
      </c>
      <c r="U22" s="127">
        <v>329871</v>
      </c>
      <c r="V22" s="128" t="s">
        <v>31</v>
      </c>
      <c r="W22" s="119"/>
      <c r="AI22" s="119"/>
    </row>
    <row r="23" spans="1:35" s="20" customFormat="1" ht="31.5">
      <c r="A23" s="19" t="s">
        <v>137</v>
      </c>
      <c r="B23" s="19" t="s">
        <v>138</v>
      </c>
      <c r="C23" s="19">
        <v>0</v>
      </c>
      <c r="D23" s="127">
        <v>0</v>
      </c>
      <c r="E23" s="127">
        <v>0</v>
      </c>
      <c r="F23" s="127">
        <v>0</v>
      </c>
      <c r="G23" s="19" t="s">
        <v>35</v>
      </c>
      <c r="H23" s="19" t="s">
        <v>66</v>
      </c>
      <c r="I23" s="17" t="s">
        <v>139</v>
      </c>
      <c r="J23" s="32">
        <v>44084</v>
      </c>
      <c r="K23" s="17">
        <v>760</v>
      </c>
      <c r="L23" s="127">
        <v>2567335.44</v>
      </c>
      <c r="M23" s="32">
        <f t="shared" si="0"/>
        <v>44844</v>
      </c>
      <c r="N23" s="17">
        <v>0</v>
      </c>
      <c r="O23" s="127">
        <v>0</v>
      </c>
      <c r="P23" s="127">
        <v>0</v>
      </c>
      <c r="Q23" s="17" t="s">
        <v>30</v>
      </c>
      <c r="R23" s="127">
        <f>1475710.47+174397.54</f>
        <v>1650108.01</v>
      </c>
      <c r="S23" s="127">
        <v>174397.54</v>
      </c>
      <c r="T23" s="16">
        <f t="shared" si="1"/>
        <v>174397.54</v>
      </c>
      <c r="U23" s="127">
        <v>1650108.01</v>
      </c>
      <c r="V23" s="128" t="s">
        <v>31</v>
      </c>
      <c r="W23" s="119"/>
      <c r="AI23" s="119"/>
    </row>
    <row r="24" spans="1:35" s="20" customFormat="1" ht="31.5">
      <c r="A24" s="19" t="s">
        <v>140</v>
      </c>
      <c r="B24" s="19" t="s">
        <v>141</v>
      </c>
      <c r="C24" s="19" t="s">
        <v>154</v>
      </c>
      <c r="D24" s="127" t="s">
        <v>108</v>
      </c>
      <c r="E24" s="127">
        <v>94508747.5</v>
      </c>
      <c r="F24" s="127">
        <v>0</v>
      </c>
      <c r="G24" s="19" t="s">
        <v>119</v>
      </c>
      <c r="H24" s="19" t="s">
        <v>120</v>
      </c>
      <c r="I24" s="17" t="s">
        <v>142</v>
      </c>
      <c r="J24" s="32">
        <v>44089</v>
      </c>
      <c r="K24" s="17">
        <v>210</v>
      </c>
      <c r="L24" s="127">
        <v>3335155.86</v>
      </c>
      <c r="M24" s="32">
        <f t="shared" si="0"/>
        <v>44584</v>
      </c>
      <c r="N24" s="17">
        <v>285</v>
      </c>
      <c r="O24" s="127">
        <v>767945.97</v>
      </c>
      <c r="P24" s="127">
        <v>0</v>
      </c>
      <c r="Q24" s="17" t="s">
        <v>49</v>
      </c>
      <c r="R24" s="127">
        <v>3486185.38</v>
      </c>
      <c r="S24" s="127">
        <v>538484.02</v>
      </c>
      <c r="T24" s="16">
        <f t="shared" si="1"/>
        <v>538484.02</v>
      </c>
      <c r="U24" s="127">
        <v>3486185.3800000004</v>
      </c>
      <c r="V24" s="128" t="s">
        <v>188</v>
      </c>
      <c r="W24" s="119"/>
      <c r="AI24" s="119"/>
    </row>
    <row r="25" spans="1:35" s="20" customFormat="1" ht="21">
      <c r="A25" s="19" t="s">
        <v>143</v>
      </c>
      <c r="B25" s="19" t="s">
        <v>144</v>
      </c>
      <c r="C25" s="19">
        <v>0</v>
      </c>
      <c r="D25" s="127">
        <v>0</v>
      </c>
      <c r="E25" s="127">
        <v>0</v>
      </c>
      <c r="F25" s="127">
        <v>0</v>
      </c>
      <c r="G25" s="19" t="s">
        <v>90</v>
      </c>
      <c r="H25" s="19" t="s">
        <v>145</v>
      </c>
      <c r="I25" s="17" t="s">
        <v>146</v>
      </c>
      <c r="J25" s="32">
        <v>44105</v>
      </c>
      <c r="K25" s="17">
        <v>760</v>
      </c>
      <c r="L25" s="127">
        <v>6329253.03</v>
      </c>
      <c r="M25" s="32">
        <f t="shared" si="0"/>
        <v>44865</v>
      </c>
      <c r="N25" s="17">
        <v>0</v>
      </c>
      <c r="O25" s="127">
        <v>0</v>
      </c>
      <c r="P25" s="127">
        <v>707143.97</v>
      </c>
      <c r="Q25" s="17" t="s">
        <v>30</v>
      </c>
      <c r="R25" s="127">
        <f>2672131.82+190665.44</f>
        <v>2862797.26</v>
      </c>
      <c r="S25" s="127">
        <v>125227.49</v>
      </c>
      <c r="T25" s="16">
        <f t="shared" si="1"/>
        <v>125227.49</v>
      </c>
      <c r="U25" s="127">
        <v>2797359.3100000005</v>
      </c>
      <c r="V25" s="128" t="s">
        <v>31</v>
      </c>
      <c r="W25" s="119"/>
      <c r="AI25" s="119"/>
    </row>
    <row r="26" spans="1:35" s="20" customFormat="1" ht="21">
      <c r="A26" s="19" t="s">
        <v>143</v>
      </c>
      <c r="B26" s="19" t="s">
        <v>147</v>
      </c>
      <c r="C26" s="19">
        <v>0</v>
      </c>
      <c r="D26" s="127">
        <v>0</v>
      </c>
      <c r="E26" s="127">
        <v>0</v>
      </c>
      <c r="F26" s="127">
        <v>0</v>
      </c>
      <c r="G26" s="19" t="s">
        <v>62</v>
      </c>
      <c r="H26" s="19" t="s">
        <v>63</v>
      </c>
      <c r="I26" s="17" t="s">
        <v>148</v>
      </c>
      <c r="J26" s="32">
        <v>44130</v>
      </c>
      <c r="K26" s="17">
        <v>760</v>
      </c>
      <c r="L26" s="127">
        <v>9905518.18</v>
      </c>
      <c r="M26" s="32">
        <f t="shared" si="0"/>
        <v>44890</v>
      </c>
      <c r="N26" s="17">
        <v>0</v>
      </c>
      <c r="O26" s="127">
        <v>100704.67</v>
      </c>
      <c r="P26" s="127">
        <v>1135184.8</v>
      </c>
      <c r="Q26" s="17" t="s">
        <v>30</v>
      </c>
      <c r="R26" s="127">
        <f>5268329.02+543187.5</f>
        <v>5811516.52</v>
      </c>
      <c r="S26" s="127">
        <f>76353.45+466834.05</f>
        <v>543187.5</v>
      </c>
      <c r="T26" s="16">
        <f t="shared" si="1"/>
        <v>543187.5</v>
      </c>
      <c r="U26" s="127">
        <v>5811516.5200000005</v>
      </c>
      <c r="V26" s="128" t="s">
        <v>31</v>
      </c>
      <c r="W26" s="119"/>
      <c r="AI26" s="119"/>
    </row>
    <row r="27" spans="1:35" s="20" customFormat="1" ht="21">
      <c r="A27" s="19" t="s">
        <v>143</v>
      </c>
      <c r="B27" s="19" t="s">
        <v>149</v>
      </c>
      <c r="C27" s="19">
        <v>0</v>
      </c>
      <c r="D27" s="127">
        <v>0</v>
      </c>
      <c r="E27" s="127">
        <v>0</v>
      </c>
      <c r="F27" s="127">
        <v>0</v>
      </c>
      <c r="G27" s="19" t="s">
        <v>90</v>
      </c>
      <c r="H27" s="19" t="s">
        <v>145</v>
      </c>
      <c r="I27" s="154" t="s">
        <v>150</v>
      </c>
      <c r="J27" s="32">
        <v>44130</v>
      </c>
      <c r="K27" s="17">
        <v>760</v>
      </c>
      <c r="L27" s="127">
        <v>12232966.38</v>
      </c>
      <c r="M27" s="32">
        <f t="shared" si="0"/>
        <v>44890</v>
      </c>
      <c r="N27" s="17">
        <v>0</v>
      </c>
      <c r="O27" s="127">
        <f>175288.78+40223.5</f>
        <v>215512.28</v>
      </c>
      <c r="P27" s="127">
        <v>1362845.01</v>
      </c>
      <c r="Q27" s="17" t="s">
        <v>30</v>
      </c>
      <c r="R27" s="153">
        <f>7431664.16+327142.28</f>
        <v>7758806.44</v>
      </c>
      <c r="S27" s="127">
        <f>12526.96+281972.4</f>
        <v>294499.36000000004</v>
      </c>
      <c r="T27" s="16">
        <f t="shared" si="1"/>
        <v>294499.36000000004</v>
      </c>
      <c r="U27" s="127">
        <v>7726163.5200000005</v>
      </c>
      <c r="V27" s="128" t="s">
        <v>31</v>
      </c>
      <c r="W27" s="119"/>
      <c r="AI27" s="119"/>
    </row>
    <row r="28" spans="1:35" s="20" customFormat="1" ht="21">
      <c r="A28" s="19" t="s">
        <v>143</v>
      </c>
      <c r="B28" s="19" t="s">
        <v>151</v>
      </c>
      <c r="C28" s="19">
        <v>0</v>
      </c>
      <c r="D28" s="127">
        <v>0</v>
      </c>
      <c r="E28" s="127">
        <v>0</v>
      </c>
      <c r="F28" s="127">
        <v>0</v>
      </c>
      <c r="G28" s="19" t="s">
        <v>104</v>
      </c>
      <c r="H28" s="19" t="s">
        <v>105</v>
      </c>
      <c r="I28" s="17" t="s">
        <v>152</v>
      </c>
      <c r="J28" s="32">
        <v>44130</v>
      </c>
      <c r="K28" s="17">
        <v>760</v>
      </c>
      <c r="L28" s="127">
        <v>10773413.11</v>
      </c>
      <c r="M28" s="32">
        <f t="shared" si="0"/>
        <v>44890</v>
      </c>
      <c r="N28" s="17">
        <v>0</v>
      </c>
      <c r="O28" s="127">
        <v>0</v>
      </c>
      <c r="P28" s="127">
        <v>3401715.99</v>
      </c>
      <c r="Q28" s="17" t="s">
        <v>30</v>
      </c>
      <c r="R28" s="127">
        <f>4507486.96+223527.21</f>
        <v>4731014.17</v>
      </c>
      <c r="S28" s="127">
        <v>223527.21</v>
      </c>
      <c r="T28" s="16">
        <f t="shared" si="1"/>
        <v>223527.21</v>
      </c>
      <c r="U28" s="127">
        <v>4731014.17</v>
      </c>
      <c r="V28" s="128" t="s">
        <v>31</v>
      </c>
      <c r="W28" s="119"/>
      <c r="AI28" s="119"/>
    </row>
    <row r="29" spans="1:35" s="20" customFormat="1" ht="42.75">
      <c r="A29" s="19" t="s">
        <v>156</v>
      </c>
      <c r="B29" s="19" t="s">
        <v>157</v>
      </c>
      <c r="C29" s="19">
        <v>0</v>
      </c>
      <c r="D29" s="127">
        <v>0</v>
      </c>
      <c r="E29" s="127">
        <v>0</v>
      </c>
      <c r="F29" s="127">
        <v>0</v>
      </c>
      <c r="G29" s="19" t="s">
        <v>32</v>
      </c>
      <c r="H29" s="19" t="s">
        <v>40</v>
      </c>
      <c r="I29" s="17" t="s">
        <v>155</v>
      </c>
      <c r="J29" s="32">
        <v>44138</v>
      </c>
      <c r="K29" s="17">
        <v>760</v>
      </c>
      <c r="L29" s="127">
        <v>536156.1</v>
      </c>
      <c r="M29" s="32">
        <f t="shared" si="0"/>
        <v>44898</v>
      </c>
      <c r="N29" s="17">
        <v>0</v>
      </c>
      <c r="O29" s="127">
        <v>82719.18</v>
      </c>
      <c r="P29" s="127">
        <v>0</v>
      </c>
      <c r="Q29" s="17" t="s">
        <v>30</v>
      </c>
      <c r="R29" s="127">
        <f>365910.34+49382.99</f>
        <v>415293.33</v>
      </c>
      <c r="S29" s="127">
        <v>49382.99</v>
      </c>
      <c r="T29" s="16">
        <f t="shared" si="1"/>
        <v>49382.99</v>
      </c>
      <c r="U29" s="127">
        <v>415293.33</v>
      </c>
      <c r="V29" s="128" t="s">
        <v>31</v>
      </c>
      <c r="W29" s="119"/>
      <c r="AI29" s="119"/>
    </row>
    <row r="30" spans="1:35" s="20" customFormat="1" ht="53.25">
      <c r="A30" s="19" t="s">
        <v>160</v>
      </c>
      <c r="B30" s="19" t="s">
        <v>159</v>
      </c>
      <c r="C30" s="19">
        <v>0</v>
      </c>
      <c r="D30" s="127">
        <v>0</v>
      </c>
      <c r="E30" s="127">
        <v>0</v>
      </c>
      <c r="F30" s="127">
        <v>0</v>
      </c>
      <c r="G30" s="19" t="s">
        <v>42</v>
      </c>
      <c r="H30" s="19" t="s">
        <v>43</v>
      </c>
      <c r="I30" s="17" t="s">
        <v>158</v>
      </c>
      <c r="J30" s="32">
        <v>44162</v>
      </c>
      <c r="K30" s="17">
        <v>790</v>
      </c>
      <c r="L30" s="127">
        <v>1704583.5</v>
      </c>
      <c r="M30" s="32">
        <f t="shared" si="0"/>
        <v>44952</v>
      </c>
      <c r="N30" s="17">
        <v>0</v>
      </c>
      <c r="O30" s="127">
        <v>0</v>
      </c>
      <c r="P30" s="127">
        <v>0</v>
      </c>
      <c r="Q30" s="17" t="s">
        <v>30</v>
      </c>
      <c r="R30" s="127">
        <f>754669.18+111521.96</f>
        <v>866191.14</v>
      </c>
      <c r="S30" s="127">
        <f>111521.96+57116.64</f>
        <v>168638.6</v>
      </c>
      <c r="T30" s="16">
        <f t="shared" si="1"/>
        <v>168638.6</v>
      </c>
      <c r="U30" s="127">
        <v>866191.14</v>
      </c>
      <c r="V30" s="128" t="s">
        <v>31</v>
      </c>
      <c r="W30" s="119"/>
      <c r="AI30" s="119"/>
    </row>
    <row r="31" spans="1:35" s="20" customFormat="1" ht="21">
      <c r="A31" s="19" t="s">
        <v>163</v>
      </c>
      <c r="B31" s="19" t="s">
        <v>162</v>
      </c>
      <c r="C31" s="19">
        <v>0</v>
      </c>
      <c r="D31" s="127">
        <v>0</v>
      </c>
      <c r="E31" s="127">
        <v>0</v>
      </c>
      <c r="F31" s="127">
        <v>0</v>
      </c>
      <c r="G31" s="19" t="s">
        <v>106</v>
      </c>
      <c r="H31" s="19" t="s">
        <v>107</v>
      </c>
      <c r="I31" s="17" t="s">
        <v>161</v>
      </c>
      <c r="J31" s="32">
        <v>44168</v>
      </c>
      <c r="K31" s="17">
        <v>1125</v>
      </c>
      <c r="L31" s="127">
        <v>16571981.61</v>
      </c>
      <c r="M31" s="32">
        <f t="shared" si="0"/>
        <v>45293</v>
      </c>
      <c r="N31" s="17">
        <v>0</v>
      </c>
      <c r="O31" s="127">
        <v>0</v>
      </c>
      <c r="P31" s="127">
        <v>3759599.49</v>
      </c>
      <c r="Q31" s="17" t="s">
        <v>30</v>
      </c>
      <c r="R31" s="127">
        <f>5519851.75+1462517.9</f>
        <v>6982369.65</v>
      </c>
      <c r="S31" s="127">
        <v>986926.22</v>
      </c>
      <c r="T31" s="16">
        <f t="shared" si="1"/>
        <v>986926.22</v>
      </c>
      <c r="U31" s="127">
        <v>6408924.34</v>
      </c>
      <c r="V31" s="128" t="s">
        <v>31</v>
      </c>
      <c r="W31" s="119"/>
      <c r="AI31" s="119"/>
    </row>
    <row r="32" spans="1:35" s="20" customFormat="1" ht="31.5">
      <c r="A32" s="19" t="s">
        <v>246</v>
      </c>
      <c r="B32" s="19" t="s">
        <v>268</v>
      </c>
      <c r="C32" s="19">
        <v>0</v>
      </c>
      <c r="D32" s="127">
        <v>0</v>
      </c>
      <c r="E32" s="127">
        <v>0</v>
      </c>
      <c r="F32" s="127">
        <v>0</v>
      </c>
      <c r="G32" s="19" t="s">
        <v>32</v>
      </c>
      <c r="H32" s="19" t="s">
        <v>40</v>
      </c>
      <c r="I32" s="17" t="s">
        <v>252</v>
      </c>
      <c r="J32" s="32">
        <v>44491</v>
      </c>
      <c r="K32" s="17">
        <v>90</v>
      </c>
      <c r="L32" s="127">
        <v>91995.11</v>
      </c>
      <c r="M32" s="32">
        <f t="shared" si="0"/>
        <v>44581</v>
      </c>
      <c r="N32" s="17">
        <v>0</v>
      </c>
      <c r="O32" s="127">
        <v>0</v>
      </c>
      <c r="P32" s="127">
        <v>0</v>
      </c>
      <c r="Q32" s="17" t="s">
        <v>30</v>
      </c>
      <c r="R32" s="127">
        <v>91995.11</v>
      </c>
      <c r="S32" s="127"/>
      <c r="T32" s="16">
        <f t="shared" si="1"/>
        <v>0</v>
      </c>
      <c r="U32" s="127">
        <v>91995.11</v>
      </c>
      <c r="V32" s="128" t="s">
        <v>31</v>
      </c>
      <c r="W32" s="119"/>
      <c r="AI32" s="119"/>
    </row>
    <row r="33" spans="1:35" s="20" customFormat="1" ht="31.5">
      <c r="A33" s="19" t="s">
        <v>169</v>
      </c>
      <c r="B33" s="19" t="s">
        <v>170</v>
      </c>
      <c r="C33" s="19">
        <v>0</v>
      </c>
      <c r="D33" s="127">
        <v>0</v>
      </c>
      <c r="E33" s="127">
        <v>0</v>
      </c>
      <c r="F33" s="127">
        <v>0</v>
      </c>
      <c r="G33" s="19" t="s">
        <v>94</v>
      </c>
      <c r="H33" s="19" t="s">
        <v>95</v>
      </c>
      <c r="I33" s="154" t="s">
        <v>171</v>
      </c>
      <c r="J33" s="32">
        <v>44204</v>
      </c>
      <c r="K33" s="17">
        <v>1125</v>
      </c>
      <c r="L33" s="127">
        <v>17543900.19</v>
      </c>
      <c r="M33" s="32">
        <f aca="true" t="shared" si="2" ref="M33:M84">J33+K33+N33</f>
        <v>45329</v>
      </c>
      <c r="N33" s="17">
        <v>0</v>
      </c>
      <c r="O33" s="127">
        <v>713682.3</v>
      </c>
      <c r="P33" s="127">
        <v>0</v>
      </c>
      <c r="Q33" s="17" t="s">
        <v>30</v>
      </c>
      <c r="R33" s="153">
        <f>4733772.91+1054132.71</f>
        <v>5787905.62</v>
      </c>
      <c r="S33" s="127">
        <v>732715.0399999999</v>
      </c>
      <c r="T33" s="16">
        <f aca="true" t="shared" si="3" ref="T33:T84">S33</f>
        <v>732715.0399999999</v>
      </c>
      <c r="U33" s="127">
        <v>5466487.96</v>
      </c>
      <c r="V33" s="128" t="s">
        <v>31</v>
      </c>
      <c r="W33" s="119"/>
      <c r="AI33" s="119"/>
    </row>
    <row r="34" spans="1:35" s="20" customFormat="1" ht="31.5">
      <c r="A34" s="19" t="s">
        <v>191</v>
      </c>
      <c r="B34" s="19" t="s">
        <v>192</v>
      </c>
      <c r="C34" s="19">
        <v>0</v>
      </c>
      <c r="D34" s="127">
        <v>0</v>
      </c>
      <c r="E34" s="127">
        <v>0</v>
      </c>
      <c r="F34" s="127">
        <v>0</v>
      </c>
      <c r="G34" s="19" t="s">
        <v>32</v>
      </c>
      <c r="H34" s="19" t="s">
        <v>40</v>
      </c>
      <c r="I34" s="17" t="s">
        <v>193</v>
      </c>
      <c r="J34" s="32">
        <v>44246</v>
      </c>
      <c r="K34" s="17">
        <v>365</v>
      </c>
      <c r="L34" s="127">
        <v>159999.96</v>
      </c>
      <c r="M34" s="32">
        <f t="shared" si="2"/>
        <v>44701</v>
      </c>
      <c r="N34" s="17">
        <f>0+90</f>
        <v>90</v>
      </c>
      <c r="O34" s="127">
        <v>39425.78</v>
      </c>
      <c r="P34" s="127">
        <v>0</v>
      </c>
      <c r="Q34" s="17" t="s">
        <v>30</v>
      </c>
      <c r="R34" s="127">
        <f>151137.85+33487.69</f>
        <v>184625.54</v>
      </c>
      <c r="S34" s="127">
        <v>33487.69</v>
      </c>
      <c r="T34" s="16">
        <f t="shared" si="3"/>
        <v>33487.69</v>
      </c>
      <c r="U34" s="127">
        <v>184625.54</v>
      </c>
      <c r="V34" s="128" t="s">
        <v>31</v>
      </c>
      <c r="W34" s="119"/>
      <c r="AI34" s="119"/>
    </row>
    <row r="35" spans="1:35" s="20" customFormat="1" ht="42.75">
      <c r="A35" s="19" t="s">
        <v>172</v>
      </c>
      <c r="B35" s="19" t="s">
        <v>173</v>
      </c>
      <c r="C35" s="19">
        <v>0</v>
      </c>
      <c r="D35" s="127">
        <v>0</v>
      </c>
      <c r="E35" s="127">
        <v>0</v>
      </c>
      <c r="F35" s="127">
        <v>0</v>
      </c>
      <c r="G35" s="19" t="s">
        <v>92</v>
      </c>
      <c r="H35" s="19" t="s">
        <v>93</v>
      </c>
      <c r="I35" s="17" t="s">
        <v>174</v>
      </c>
      <c r="J35" s="32">
        <v>44270</v>
      </c>
      <c r="K35" s="17">
        <v>790</v>
      </c>
      <c r="L35" s="127">
        <v>1459741.65</v>
      </c>
      <c r="M35" s="32">
        <f t="shared" si="2"/>
        <v>45060</v>
      </c>
      <c r="N35" s="17">
        <v>0</v>
      </c>
      <c r="O35" s="127">
        <f>143928.8+127985.06</f>
        <v>271913.86</v>
      </c>
      <c r="P35" s="127">
        <v>0</v>
      </c>
      <c r="Q35" s="17" t="s">
        <v>30</v>
      </c>
      <c r="R35" s="127">
        <f>652516.48+127874.2</f>
        <v>780390.6799999999</v>
      </c>
      <c r="S35" s="127">
        <v>127874.2</v>
      </c>
      <c r="T35" s="16">
        <f t="shared" si="3"/>
        <v>127874.2</v>
      </c>
      <c r="U35" s="127">
        <v>780390.6799999999</v>
      </c>
      <c r="V35" s="128" t="s">
        <v>31</v>
      </c>
      <c r="W35" s="119"/>
      <c r="AI35" s="119"/>
    </row>
    <row r="36" spans="1:35" s="20" customFormat="1" ht="42.75">
      <c r="A36" s="19" t="s">
        <v>172</v>
      </c>
      <c r="B36" s="19" t="s">
        <v>175</v>
      </c>
      <c r="C36" s="19">
        <v>0</v>
      </c>
      <c r="D36" s="127">
        <v>0</v>
      </c>
      <c r="E36" s="127">
        <v>0</v>
      </c>
      <c r="F36" s="127">
        <v>0</v>
      </c>
      <c r="G36" s="19" t="s">
        <v>92</v>
      </c>
      <c r="H36" s="19" t="s">
        <v>93</v>
      </c>
      <c r="I36" s="17" t="s">
        <v>176</v>
      </c>
      <c r="J36" s="32">
        <v>44270</v>
      </c>
      <c r="K36" s="17">
        <v>790</v>
      </c>
      <c r="L36" s="127">
        <v>1589764.85</v>
      </c>
      <c r="M36" s="32">
        <f t="shared" si="2"/>
        <v>45060</v>
      </c>
      <c r="N36" s="17">
        <v>0</v>
      </c>
      <c r="O36" s="127">
        <f>257092.4+80675.98</f>
        <v>337768.38</v>
      </c>
      <c r="P36" s="127">
        <v>0</v>
      </c>
      <c r="Q36" s="17" t="s">
        <v>30</v>
      </c>
      <c r="R36" s="127">
        <f>636145.63+129293.64</f>
        <v>765439.27</v>
      </c>
      <c r="S36" s="127">
        <v>129293.64</v>
      </c>
      <c r="T36" s="16">
        <f t="shared" si="3"/>
        <v>129293.64</v>
      </c>
      <c r="U36" s="127">
        <v>765439.27</v>
      </c>
      <c r="V36" s="128" t="s">
        <v>31</v>
      </c>
      <c r="W36" s="119"/>
      <c r="AI36" s="119"/>
    </row>
    <row r="37" spans="1:35" s="20" customFormat="1" ht="42.75">
      <c r="A37" s="19" t="s">
        <v>172</v>
      </c>
      <c r="B37" s="19" t="s">
        <v>177</v>
      </c>
      <c r="C37" s="19">
        <v>0</v>
      </c>
      <c r="D37" s="127">
        <v>0</v>
      </c>
      <c r="E37" s="127">
        <v>0</v>
      </c>
      <c r="F37" s="127">
        <v>0</v>
      </c>
      <c r="G37" s="19" t="s">
        <v>92</v>
      </c>
      <c r="H37" s="19" t="s">
        <v>93</v>
      </c>
      <c r="I37" s="17" t="s">
        <v>178</v>
      </c>
      <c r="J37" s="32">
        <v>44270</v>
      </c>
      <c r="K37" s="17">
        <v>790</v>
      </c>
      <c r="L37" s="127">
        <v>1435226.94</v>
      </c>
      <c r="M37" s="32">
        <f t="shared" si="2"/>
        <v>45060</v>
      </c>
      <c r="N37" s="17">
        <v>0</v>
      </c>
      <c r="O37" s="127">
        <f>204478.8+137175.78</f>
        <v>341654.57999999996</v>
      </c>
      <c r="P37" s="127">
        <v>0</v>
      </c>
      <c r="Q37" s="17" t="s">
        <v>30</v>
      </c>
      <c r="R37" s="127">
        <f>561152.98+200198.65</f>
        <v>761351.63</v>
      </c>
      <c r="S37" s="127">
        <v>200198.65</v>
      </c>
      <c r="T37" s="16">
        <f t="shared" si="3"/>
        <v>200198.65</v>
      </c>
      <c r="U37" s="127">
        <v>761351.63</v>
      </c>
      <c r="V37" s="128" t="s">
        <v>31</v>
      </c>
      <c r="W37" s="119"/>
      <c r="AI37" s="119"/>
    </row>
    <row r="38" spans="1:35" s="20" customFormat="1" ht="31.5">
      <c r="A38" s="19" t="s">
        <v>179</v>
      </c>
      <c r="B38" s="19" t="s">
        <v>180</v>
      </c>
      <c r="C38" s="19">
        <v>0</v>
      </c>
      <c r="D38" s="127">
        <v>0</v>
      </c>
      <c r="E38" s="127">
        <v>0</v>
      </c>
      <c r="F38" s="127">
        <v>0</v>
      </c>
      <c r="G38" s="19" t="s">
        <v>33</v>
      </c>
      <c r="H38" s="19" t="s">
        <v>91</v>
      </c>
      <c r="I38" s="17" t="s">
        <v>181</v>
      </c>
      <c r="J38" s="32">
        <v>44285</v>
      </c>
      <c r="K38" s="17">
        <v>760</v>
      </c>
      <c r="L38" s="127">
        <v>4242714.5</v>
      </c>
      <c r="M38" s="32">
        <f t="shared" si="2"/>
        <v>45045</v>
      </c>
      <c r="N38" s="17">
        <v>0</v>
      </c>
      <c r="O38" s="127">
        <v>0</v>
      </c>
      <c r="P38" s="127">
        <v>0</v>
      </c>
      <c r="Q38" s="17" t="s">
        <v>30</v>
      </c>
      <c r="R38" s="127">
        <v>629610.96</v>
      </c>
      <c r="S38" s="127"/>
      <c r="T38" s="16">
        <f t="shared" si="3"/>
        <v>0</v>
      </c>
      <c r="U38" s="127">
        <v>629610.96</v>
      </c>
      <c r="V38" s="128" t="s">
        <v>31</v>
      </c>
      <c r="W38" s="119"/>
      <c r="AI38" s="119"/>
    </row>
    <row r="39" spans="1:35" s="20" customFormat="1" ht="31.5">
      <c r="A39" s="19" t="s">
        <v>179</v>
      </c>
      <c r="B39" s="19" t="s">
        <v>182</v>
      </c>
      <c r="C39" s="19">
        <v>0</v>
      </c>
      <c r="D39" s="127">
        <v>0</v>
      </c>
      <c r="E39" s="127">
        <v>0</v>
      </c>
      <c r="F39" s="127">
        <v>0</v>
      </c>
      <c r="G39" s="19" t="s">
        <v>106</v>
      </c>
      <c r="H39" s="19" t="s">
        <v>107</v>
      </c>
      <c r="I39" s="17" t="s">
        <v>183</v>
      </c>
      <c r="J39" s="32">
        <v>44285</v>
      </c>
      <c r="K39" s="17">
        <v>760</v>
      </c>
      <c r="L39" s="127">
        <v>5068725.74</v>
      </c>
      <c r="M39" s="32">
        <f t="shared" si="2"/>
        <v>45045</v>
      </c>
      <c r="N39" s="17">
        <v>0</v>
      </c>
      <c r="O39" s="127">
        <v>0</v>
      </c>
      <c r="P39" s="127">
        <f>765001.36</f>
        <v>765001.36</v>
      </c>
      <c r="Q39" s="17" t="s">
        <v>30</v>
      </c>
      <c r="R39" s="127">
        <f>1215079.73+39202.53</f>
        <v>1254282.26</v>
      </c>
      <c r="S39" s="127">
        <v>39202.53</v>
      </c>
      <c r="T39" s="16">
        <f t="shared" si="3"/>
        <v>39202.53</v>
      </c>
      <c r="U39" s="127">
        <v>1254282.26</v>
      </c>
      <c r="V39" s="128" t="s">
        <v>31</v>
      </c>
      <c r="W39" s="119"/>
      <c r="AI39" s="119"/>
    </row>
    <row r="40" spans="1:35" s="20" customFormat="1" ht="31.5">
      <c r="A40" s="19" t="s">
        <v>194</v>
      </c>
      <c r="B40" s="19" t="s">
        <v>184</v>
      </c>
      <c r="C40" s="19">
        <v>0</v>
      </c>
      <c r="D40" s="127">
        <v>0</v>
      </c>
      <c r="E40" s="127">
        <v>0</v>
      </c>
      <c r="F40" s="127">
        <v>0</v>
      </c>
      <c r="G40" s="19" t="s">
        <v>86</v>
      </c>
      <c r="H40" s="19" t="s">
        <v>47</v>
      </c>
      <c r="I40" s="17" t="s">
        <v>185</v>
      </c>
      <c r="J40" s="32">
        <v>44285</v>
      </c>
      <c r="K40" s="17">
        <v>760</v>
      </c>
      <c r="L40" s="127">
        <v>7317745.62</v>
      </c>
      <c r="M40" s="32">
        <f t="shared" si="2"/>
        <v>45045</v>
      </c>
      <c r="N40" s="17">
        <v>0</v>
      </c>
      <c r="O40" s="127">
        <v>132982.7</v>
      </c>
      <c r="P40" s="127">
        <f>0+1257436.68</f>
        <v>1257436.68</v>
      </c>
      <c r="Q40" s="17" t="s">
        <v>30</v>
      </c>
      <c r="R40" s="127">
        <v>901269.1</v>
      </c>
      <c r="S40" s="127"/>
      <c r="T40" s="16">
        <f t="shared" si="3"/>
        <v>0</v>
      </c>
      <c r="U40" s="127">
        <v>901269.1</v>
      </c>
      <c r="V40" s="128" t="s">
        <v>31</v>
      </c>
      <c r="W40" s="119"/>
      <c r="AI40" s="119"/>
    </row>
    <row r="41" spans="1:35" s="20" customFormat="1" ht="31.5">
      <c r="A41" s="19" t="s">
        <v>194</v>
      </c>
      <c r="B41" s="19" t="s">
        <v>186</v>
      </c>
      <c r="C41" s="19">
        <v>0</v>
      </c>
      <c r="D41" s="127">
        <v>0</v>
      </c>
      <c r="E41" s="127">
        <v>0</v>
      </c>
      <c r="F41" s="127">
        <v>0</v>
      </c>
      <c r="G41" s="19" t="s">
        <v>33</v>
      </c>
      <c r="H41" s="19" t="s">
        <v>91</v>
      </c>
      <c r="I41" s="17" t="s">
        <v>187</v>
      </c>
      <c r="J41" s="32">
        <v>44285</v>
      </c>
      <c r="K41" s="17">
        <v>760</v>
      </c>
      <c r="L41" s="127">
        <v>6534905.35</v>
      </c>
      <c r="M41" s="32">
        <f t="shared" si="2"/>
        <v>45045</v>
      </c>
      <c r="N41" s="17">
        <v>0</v>
      </c>
      <c r="O41" s="127">
        <v>0</v>
      </c>
      <c r="P41" s="127">
        <v>0</v>
      </c>
      <c r="Q41" s="17" t="s">
        <v>30</v>
      </c>
      <c r="R41" s="127">
        <f>1602256.67+326655.13</f>
        <v>1928911.7999999998</v>
      </c>
      <c r="S41" s="127">
        <v>326655.13</v>
      </c>
      <c r="T41" s="16">
        <f t="shared" si="3"/>
        <v>326655.13</v>
      </c>
      <c r="U41" s="127">
        <v>1928911.7999999998</v>
      </c>
      <c r="V41" s="128" t="s">
        <v>31</v>
      </c>
      <c r="W41" s="119"/>
      <c r="AI41" s="119"/>
    </row>
    <row r="42" spans="1:35" s="20" customFormat="1" ht="31.5">
      <c r="A42" s="19" t="s">
        <v>195</v>
      </c>
      <c r="B42" s="19" t="s">
        <v>196</v>
      </c>
      <c r="C42" s="19">
        <v>0</v>
      </c>
      <c r="D42" s="127">
        <v>0</v>
      </c>
      <c r="E42" s="127">
        <v>0</v>
      </c>
      <c r="F42" s="127">
        <v>0</v>
      </c>
      <c r="G42" s="19" t="s">
        <v>197</v>
      </c>
      <c r="H42" s="19" t="s">
        <v>198</v>
      </c>
      <c r="I42" s="17" t="s">
        <v>199</v>
      </c>
      <c r="J42" s="32">
        <v>44354</v>
      </c>
      <c r="K42" s="17">
        <v>760</v>
      </c>
      <c r="L42" s="127">
        <v>1940544.76</v>
      </c>
      <c r="M42" s="32">
        <f t="shared" si="2"/>
        <v>45114</v>
      </c>
      <c r="N42" s="17">
        <v>0</v>
      </c>
      <c r="O42" s="127">
        <v>27154</v>
      </c>
      <c r="P42" s="127">
        <v>0</v>
      </c>
      <c r="Q42" s="17" t="s">
        <v>30</v>
      </c>
      <c r="R42" s="127">
        <f>334841.51+195586.83</f>
        <v>530428.34</v>
      </c>
      <c r="S42" s="127">
        <v>195586.83</v>
      </c>
      <c r="T42" s="16">
        <f t="shared" si="3"/>
        <v>195586.83</v>
      </c>
      <c r="U42" s="127">
        <v>530428.34</v>
      </c>
      <c r="V42" s="128" t="s">
        <v>31</v>
      </c>
      <c r="W42" s="119"/>
      <c r="AI42" s="119"/>
    </row>
    <row r="43" spans="1:35" s="20" customFormat="1" ht="31.5">
      <c r="A43" s="19" t="s">
        <v>200</v>
      </c>
      <c r="B43" s="19" t="s">
        <v>201</v>
      </c>
      <c r="C43" s="19">
        <v>0</v>
      </c>
      <c r="D43" s="127">
        <v>0</v>
      </c>
      <c r="E43" s="127">
        <v>0</v>
      </c>
      <c r="F43" s="127">
        <v>0</v>
      </c>
      <c r="G43" s="19" t="s">
        <v>36</v>
      </c>
      <c r="H43" s="19" t="s">
        <v>114</v>
      </c>
      <c r="I43" s="17" t="s">
        <v>202</v>
      </c>
      <c r="J43" s="32">
        <v>44347</v>
      </c>
      <c r="K43" s="17">
        <v>790</v>
      </c>
      <c r="L43" s="127">
        <v>3652773.14</v>
      </c>
      <c r="M43" s="32">
        <f t="shared" si="2"/>
        <v>45137</v>
      </c>
      <c r="N43" s="17">
        <v>0</v>
      </c>
      <c r="O43" s="127">
        <v>0</v>
      </c>
      <c r="P43" s="127">
        <v>0</v>
      </c>
      <c r="Q43" s="17" t="s">
        <v>30</v>
      </c>
      <c r="R43" s="127">
        <f>737352.38+293975.21</f>
        <v>1031327.5900000001</v>
      </c>
      <c r="S43" s="127">
        <v>293975.21</v>
      </c>
      <c r="T43" s="16">
        <f t="shared" si="3"/>
        <v>293975.21</v>
      </c>
      <c r="U43" s="127">
        <v>1031327.5900000001</v>
      </c>
      <c r="V43" s="128" t="s">
        <v>31</v>
      </c>
      <c r="W43" s="119"/>
      <c r="AI43" s="119"/>
    </row>
    <row r="44" spans="1:35" s="20" customFormat="1" ht="31.5">
      <c r="A44" s="19" t="s">
        <v>231</v>
      </c>
      <c r="B44" s="19" t="s">
        <v>203</v>
      </c>
      <c r="C44" s="19">
        <v>0</v>
      </c>
      <c r="D44" s="127">
        <v>0</v>
      </c>
      <c r="E44" s="127">
        <v>0</v>
      </c>
      <c r="F44" s="127">
        <v>0</v>
      </c>
      <c r="G44" s="19" t="s">
        <v>205</v>
      </c>
      <c r="H44" s="19" t="s">
        <v>206</v>
      </c>
      <c r="I44" s="17" t="s">
        <v>204</v>
      </c>
      <c r="J44" s="32">
        <v>44363</v>
      </c>
      <c r="K44" s="17">
        <v>790</v>
      </c>
      <c r="L44" s="127">
        <v>8412130.06</v>
      </c>
      <c r="M44" s="32">
        <f>J44+K44+N44</f>
        <v>45153</v>
      </c>
      <c r="N44" s="17">
        <v>0</v>
      </c>
      <c r="O44" s="127">
        <v>0</v>
      </c>
      <c r="P44" s="127">
        <v>0</v>
      </c>
      <c r="Q44" s="17" t="s">
        <v>30</v>
      </c>
      <c r="R44" s="127">
        <f>1458765.75+1002965.45</f>
        <v>2461731.2</v>
      </c>
      <c r="S44" s="127">
        <v>1002965.45</v>
      </c>
      <c r="T44" s="16">
        <f>S44</f>
        <v>1002965.45</v>
      </c>
      <c r="U44" s="127">
        <v>2461731.2</v>
      </c>
      <c r="V44" s="128" t="s">
        <v>31</v>
      </c>
      <c r="W44" s="119"/>
      <c r="AI44" s="119"/>
    </row>
    <row r="45" spans="1:35" s="20" customFormat="1" ht="21">
      <c r="A45" s="19" t="s">
        <v>232</v>
      </c>
      <c r="B45" s="19" t="s">
        <v>208</v>
      </c>
      <c r="C45" s="19" t="s">
        <v>154</v>
      </c>
      <c r="D45" s="127" t="s">
        <v>108</v>
      </c>
      <c r="E45" s="127">
        <v>94508747.5</v>
      </c>
      <c r="F45" s="127">
        <v>0</v>
      </c>
      <c r="G45" s="19" t="s">
        <v>209</v>
      </c>
      <c r="H45" s="19" t="s">
        <v>210</v>
      </c>
      <c r="I45" s="17" t="s">
        <v>207</v>
      </c>
      <c r="J45" s="32">
        <v>44361</v>
      </c>
      <c r="K45" s="17">
        <v>790</v>
      </c>
      <c r="L45" s="127">
        <v>6770337.14</v>
      </c>
      <c r="M45" s="32">
        <f t="shared" si="2"/>
        <v>45151</v>
      </c>
      <c r="N45" s="17">
        <v>0</v>
      </c>
      <c r="O45" s="127">
        <v>0</v>
      </c>
      <c r="P45" s="127">
        <v>0</v>
      </c>
      <c r="Q45" s="17" t="s">
        <v>30</v>
      </c>
      <c r="R45" s="127">
        <f>1198307.92+353867.82</f>
        <v>1552175.74</v>
      </c>
      <c r="S45" s="127">
        <v>353867.82</v>
      </c>
      <c r="T45" s="16">
        <f t="shared" si="3"/>
        <v>353867.82</v>
      </c>
      <c r="U45" s="127">
        <v>1552175.7400000002</v>
      </c>
      <c r="V45" s="128" t="s">
        <v>31</v>
      </c>
      <c r="W45" s="119"/>
      <c r="AI45" s="119"/>
    </row>
    <row r="46" spans="1:35" s="20" customFormat="1" ht="42.75">
      <c r="A46" s="19" t="s">
        <v>212</v>
      </c>
      <c r="B46" s="19" t="s">
        <v>213</v>
      </c>
      <c r="C46" s="19" t="s">
        <v>270</v>
      </c>
      <c r="D46" s="127" t="s">
        <v>108</v>
      </c>
      <c r="E46" s="127">
        <v>113346677.56</v>
      </c>
      <c r="F46" s="127">
        <v>0</v>
      </c>
      <c r="G46" s="19" t="s">
        <v>83</v>
      </c>
      <c r="H46" s="19" t="s">
        <v>82</v>
      </c>
      <c r="I46" s="17" t="s">
        <v>211</v>
      </c>
      <c r="J46" s="32">
        <v>44365</v>
      </c>
      <c r="K46" s="17">
        <v>790</v>
      </c>
      <c r="L46" s="127">
        <v>6226475.18</v>
      </c>
      <c r="M46" s="32">
        <f t="shared" si="2"/>
        <v>45155</v>
      </c>
      <c r="N46" s="17">
        <v>0</v>
      </c>
      <c r="O46" s="127">
        <v>0</v>
      </c>
      <c r="P46" s="127">
        <v>0</v>
      </c>
      <c r="Q46" s="17" t="s">
        <v>30</v>
      </c>
      <c r="R46" s="127">
        <f>1583013.48+558051.06</f>
        <v>2141064.54</v>
      </c>
      <c r="S46" s="127">
        <v>558051.06</v>
      </c>
      <c r="T46" s="16">
        <f t="shared" si="3"/>
        <v>558051.06</v>
      </c>
      <c r="U46" s="127">
        <v>2141064.54</v>
      </c>
      <c r="V46" s="128" t="s">
        <v>31</v>
      </c>
      <c r="W46" s="119"/>
      <c r="AI46" s="119"/>
    </row>
    <row r="47" spans="1:35" s="20" customFormat="1" ht="42.75">
      <c r="A47" s="19" t="s">
        <v>212</v>
      </c>
      <c r="B47" s="19" t="s">
        <v>213</v>
      </c>
      <c r="C47" s="19" t="s">
        <v>270</v>
      </c>
      <c r="D47" s="127" t="s">
        <v>108</v>
      </c>
      <c r="E47" s="127">
        <v>113346677.56</v>
      </c>
      <c r="F47" s="127">
        <v>0</v>
      </c>
      <c r="G47" s="19" t="s">
        <v>94</v>
      </c>
      <c r="H47" s="19" t="s">
        <v>95</v>
      </c>
      <c r="I47" s="17" t="s">
        <v>214</v>
      </c>
      <c r="J47" s="32">
        <v>44365</v>
      </c>
      <c r="K47" s="17">
        <v>790</v>
      </c>
      <c r="L47" s="127">
        <v>9358982.33</v>
      </c>
      <c r="M47" s="32">
        <f t="shared" si="2"/>
        <v>45155</v>
      </c>
      <c r="N47" s="17">
        <v>0</v>
      </c>
      <c r="O47" s="127">
        <v>0</v>
      </c>
      <c r="P47" s="127">
        <v>0</v>
      </c>
      <c r="Q47" s="17" t="s">
        <v>30</v>
      </c>
      <c r="R47" s="127">
        <f>1577373.2+1640824.8</f>
        <v>3218198</v>
      </c>
      <c r="S47" s="127">
        <v>1640824.8</v>
      </c>
      <c r="T47" s="16">
        <f t="shared" si="3"/>
        <v>1640824.8</v>
      </c>
      <c r="U47" s="127">
        <v>3218198</v>
      </c>
      <c r="V47" s="128" t="s">
        <v>31</v>
      </c>
      <c r="W47" s="119"/>
      <c r="AI47" s="119"/>
    </row>
    <row r="48" spans="1:35" s="20" customFormat="1" ht="42.75">
      <c r="A48" s="19" t="s">
        <v>212</v>
      </c>
      <c r="B48" s="19" t="s">
        <v>213</v>
      </c>
      <c r="C48" s="19" t="s">
        <v>270</v>
      </c>
      <c r="D48" s="127" t="s">
        <v>108</v>
      </c>
      <c r="E48" s="127">
        <v>113346677.56</v>
      </c>
      <c r="F48" s="127">
        <v>0</v>
      </c>
      <c r="G48" s="19" t="s">
        <v>33</v>
      </c>
      <c r="H48" s="19" t="s">
        <v>91</v>
      </c>
      <c r="I48" s="17" t="s">
        <v>215</v>
      </c>
      <c r="J48" s="32">
        <v>44365</v>
      </c>
      <c r="K48" s="17">
        <v>790</v>
      </c>
      <c r="L48" s="127">
        <v>7403917.66</v>
      </c>
      <c r="M48" s="32">
        <f t="shared" si="2"/>
        <v>45155</v>
      </c>
      <c r="N48" s="17">
        <v>0</v>
      </c>
      <c r="O48" s="127">
        <v>0</v>
      </c>
      <c r="P48" s="127">
        <v>0</v>
      </c>
      <c r="Q48" s="17" t="s">
        <v>30</v>
      </c>
      <c r="R48" s="127">
        <f>2273620.35+922043.14</f>
        <v>3195663.49</v>
      </c>
      <c r="S48" s="127">
        <v>887618.42</v>
      </c>
      <c r="T48" s="16">
        <f t="shared" si="3"/>
        <v>887618.42</v>
      </c>
      <c r="U48" s="127">
        <v>3161238.77</v>
      </c>
      <c r="V48" s="128" t="s">
        <v>31</v>
      </c>
      <c r="W48" s="119"/>
      <c r="AI48" s="119"/>
    </row>
    <row r="49" spans="1:35" s="20" customFormat="1" ht="42.75">
      <c r="A49" s="19" t="s">
        <v>217</v>
      </c>
      <c r="B49" s="19" t="s">
        <v>218</v>
      </c>
      <c r="C49" s="19" t="s">
        <v>271</v>
      </c>
      <c r="D49" s="127" t="s">
        <v>122</v>
      </c>
      <c r="E49" s="127">
        <v>139865458.63</v>
      </c>
      <c r="F49" s="127">
        <v>0</v>
      </c>
      <c r="G49" s="19" t="s">
        <v>104</v>
      </c>
      <c r="H49" s="19" t="s">
        <v>105</v>
      </c>
      <c r="I49" s="154" t="s">
        <v>216</v>
      </c>
      <c r="J49" s="32">
        <v>44370</v>
      </c>
      <c r="K49" s="17">
        <v>760</v>
      </c>
      <c r="L49" s="127">
        <v>16439785.83</v>
      </c>
      <c r="M49" s="32">
        <f t="shared" si="2"/>
        <v>45130</v>
      </c>
      <c r="N49" s="17">
        <v>0</v>
      </c>
      <c r="O49" s="127">
        <v>0</v>
      </c>
      <c r="P49" s="181">
        <v>1824326.5999999996</v>
      </c>
      <c r="Q49" s="17" t="s">
        <v>49</v>
      </c>
      <c r="R49" s="127">
        <v>4939448.38</v>
      </c>
      <c r="S49" s="127"/>
      <c r="T49" s="16">
        <f t="shared" si="3"/>
        <v>0</v>
      </c>
      <c r="U49" s="127">
        <v>4939448.38</v>
      </c>
      <c r="V49" s="128" t="s">
        <v>31</v>
      </c>
      <c r="W49" s="119"/>
      <c r="AI49" s="119"/>
    </row>
    <row r="50" spans="1:35" s="20" customFormat="1" ht="42.75">
      <c r="A50" s="19" t="s">
        <v>217</v>
      </c>
      <c r="B50" s="19" t="s">
        <v>220</v>
      </c>
      <c r="C50" s="19" t="s">
        <v>271</v>
      </c>
      <c r="D50" s="127" t="s">
        <v>122</v>
      </c>
      <c r="E50" s="127">
        <v>139865458.63</v>
      </c>
      <c r="F50" s="127">
        <v>0</v>
      </c>
      <c r="G50" s="19" t="s">
        <v>62</v>
      </c>
      <c r="H50" s="19" t="s">
        <v>269</v>
      </c>
      <c r="I50" s="17" t="s">
        <v>219</v>
      </c>
      <c r="J50" s="32">
        <v>44370</v>
      </c>
      <c r="K50" s="17">
        <v>760</v>
      </c>
      <c r="L50" s="127">
        <v>16994062.08</v>
      </c>
      <c r="M50" s="32">
        <f t="shared" si="2"/>
        <v>45130</v>
      </c>
      <c r="N50" s="17">
        <v>0</v>
      </c>
      <c r="O50" s="127">
        <v>1163076</v>
      </c>
      <c r="P50" s="127">
        <v>0</v>
      </c>
      <c r="Q50" s="17" t="s">
        <v>49</v>
      </c>
      <c r="R50" s="127">
        <f>7857481.44+2936462.14</f>
        <v>10793943.58</v>
      </c>
      <c r="S50" s="127">
        <v>1124458.74</v>
      </c>
      <c r="T50" s="16">
        <f t="shared" si="3"/>
        <v>1124458.74</v>
      </c>
      <c r="U50" s="127">
        <v>8981940.18</v>
      </c>
      <c r="V50" s="128" t="s">
        <v>31</v>
      </c>
      <c r="W50" s="119"/>
      <c r="AI50" s="119"/>
    </row>
    <row r="51" spans="1:35" s="20" customFormat="1" ht="42.75">
      <c r="A51" s="19" t="s">
        <v>217</v>
      </c>
      <c r="B51" s="19" t="s">
        <v>222</v>
      </c>
      <c r="C51" s="19" t="s">
        <v>271</v>
      </c>
      <c r="D51" s="127" t="s">
        <v>122</v>
      </c>
      <c r="E51" s="127">
        <v>139865458.63</v>
      </c>
      <c r="F51" s="127">
        <v>0</v>
      </c>
      <c r="G51" s="19" t="s">
        <v>90</v>
      </c>
      <c r="H51" s="19" t="s">
        <v>145</v>
      </c>
      <c r="I51" s="17" t="s">
        <v>221</v>
      </c>
      <c r="J51" s="32">
        <v>44370</v>
      </c>
      <c r="K51" s="17">
        <v>760</v>
      </c>
      <c r="L51" s="127">
        <v>21157084.25</v>
      </c>
      <c r="M51" s="32">
        <f t="shared" si="2"/>
        <v>45130</v>
      </c>
      <c r="N51" s="17">
        <v>0</v>
      </c>
      <c r="O51" s="127">
        <v>4678660.85</v>
      </c>
      <c r="P51" s="127">
        <v>0</v>
      </c>
      <c r="Q51" s="17" t="s">
        <v>49</v>
      </c>
      <c r="R51" s="127">
        <f>10638929.27+1981003.57</f>
        <v>12619932.84</v>
      </c>
      <c r="S51" s="127">
        <v>1602291.6700000002</v>
      </c>
      <c r="T51" s="16">
        <f t="shared" si="3"/>
        <v>1602291.6700000002</v>
      </c>
      <c r="U51" s="127">
        <v>11445933.469999999</v>
      </c>
      <c r="V51" s="128" t="s">
        <v>31</v>
      </c>
      <c r="W51" s="119"/>
      <c r="AI51" s="119"/>
    </row>
    <row r="52" spans="1:35" s="20" customFormat="1" ht="42.75">
      <c r="A52" s="19" t="s">
        <v>217</v>
      </c>
      <c r="B52" s="19" t="s">
        <v>226</v>
      </c>
      <c r="C52" s="19" t="s">
        <v>271</v>
      </c>
      <c r="D52" s="127" t="s">
        <v>122</v>
      </c>
      <c r="E52" s="127">
        <v>139865458.63</v>
      </c>
      <c r="F52" s="127">
        <v>0</v>
      </c>
      <c r="G52" s="19" t="s">
        <v>104</v>
      </c>
      <c r="H52" s="19" t="s">
        <v>105</v>
      </c>
      <c r="I52" s="17" t="s">
        <v>223</v>
      </c>
      <c r="J52" s="32">
        <v>44370</v>
      </c>
      <c r="K52" s="17">
        <v>760</v>
      </c>
      <c r="L52" s="127">
        <v>17242398.46</v>
      </c>
      <c r="M52" s="32">
        <f t="shared" si="2"/>
        <v>45130</v>
      </c>
      <c r="N52" s="17">
        <v>0</v>
      </c>
      <c r="O52" s="127">
        <v>0</v>
      </c>
      <c r="P52" s="127">
        <v>0</v>
      </c>
      <c r="Q52" s="17" t="s">
        <v>49</v>
      </c>
      <c r="R52" s="127">
        <f>4970577.09+280441.27</f>
        <v>5251018.359999999</v>
      </c>
      <c r="S52" s="127"/>
      <c r="T52" s="16">
        <f t="shared" si="3"/>
        <v>0</v>
      </c>
      <c r="U52" s="127">
        <v>4970577.109999999</v>
      </c>
      <c r="V52" s="128" t="s">
        <v>31</v>
      </c>
      <c r="W52" s="119"/>
      <c r="AI52" s="119"/>
    </row>
    <row r="53" spans="1:35" s="20" customFormat="1" ht="42.75">
      <c r="A53" s="19" t="s">
        <v>227</v>
      </c>
      <c r="B53" s="19" t="s">
        <v>228</v>
      </c>
      <c r="C53" s="19">
        <v>0</v>
      </c>
      <c r="D53" s="127">
        <v>0</v>
      </c>
      <c r="E53" s="127">
        <v>0</v>
      </c>
      <c r="F53" s="127">
        <v>0</v>
      </c>
      <c r="G53" s="19" t="s">
        <v>86</v>
      </c>
      <c r="H53" s="19" t="s">
        <v>47</v>
      </c>
      <c r="I53" s="17" t="s">
        <v>224</v>
      </c>
      <c r="J53" s="32">
        <v>44391</v>
      </c>
      <c r="K53" s="17">
        <v>790</v>
      </c>
      <c r="L53" s="127">
        <v>5538433.27</v>
      </c>
      <c r="M53" s="32">
        <f t="shared" si="2"/>
        <v>45181</v>
      </c>
      <c r="N53" s="17">
        <v>0</v>
      </c>
      <c r="O53" s="127">
        <v>923983.58</v>
      </c>
      <c r="P53" s="127">
        <v>0</v>
      </c>
      <c r="Q53" s="17" t="s">
        <v>30</v>
      </c>
      <c r="R53" s="127">
        <f>467957.3+404668.85</f>
        <v>872626.1499999999</v>
      </c>
      <c r="S53" s="127">
        <v>404668.85</v>
      </c>
      <c r="T53" s="16">
        <f t="shared" si="3"/>
        <v>404668.85</v>
      </c>
      <c r="U53" s="127">
        <v>872626.15</v>
      </c>
      <c r="V53" s="128" t="s">
        <v>31</v>
      </c>
      <c r="W53" s="119"/>
      <c r="AI53" s="119"/>
    </row>
    <row r="54" spans="1:35" s="20" customFormat="1" ht="42.75">
      <c r="A54" s="19" t="s">
        <v>227</v>
      </c>
      <c r="B54" s="19" t="s">
        <v>229</v>
      </c>
      <c r="C54" s="19">
        <v>0</v>
      </c>
      <c r="D54" s="127">
        <v>0</v>
      </c>
      <c r="E54" s="127">
        <v>0</v>
      </c>
      <c r="F54" s="127">
        <v>0</v>
      </c>
      <c r="G54" s="19" t="s">
        <v>135</v>
      </c>
      <c r="H54" s="19" t="s">
        <v>136</v>
      </c>
      <c r="I54" s="17" t="s">
        <v>225</v>
      </c>
      <c r="J54" s="32">
        <v>44391</v>
      </c>
      <c r="K54" s="17">
        <v>790</v>
      </c>
      <c r="L54" s="127">
        <v>6400029.52</v>
      </c>
      <c r="M54" s="32">
        <f>J54+K54+N54</f>
        <v>45181</v>
      </c>
      <c r="N54" s="17">
        <v>0</v>
      </c>
      <c r="O54" s="127">
        <v>1321148.75</v>
      </c>
      <c r="P54" s="127">
        <v>0</v>
      </c>
      <c r="Q54" s="17" t="s">
        <v>30</v>
      </c>
      <c r="R54" s="127">
        <f>1196887.04+499134.57</f>
        <v>1696021.61</v>
      </c>
      <c r="S54" s="127">
        <f>148027.93</f>
        <v>148027.93</v>
      </c>
      <c r="T54" s="16">
        <f>S54</f>
        <v>148027.93</v>
      </c>
      <c r="U54" s="127">
        <v>1696021.61</v>
      </c>
      <c r="V54" s="128" t="s">
        <v>31</v>
      </c>
      <c r="W54" s="119"/>
      <c r="AI54" s="119"/>
    </row>
    <row r="55" spans="1:35" s="20" customFormat="1" ht="42.75">
      <c r="A55" s="19" t="s">
        <v>234</v>
      </c>
      <c r="B55" s="19" t="s">
        <v>233</v>
      </c>
      <c r="C55" s="19" t="s">
        <v>230</v>
      </c>
      <c r="D55" s="127" t="s">
        <v>108</v>
      </c>
      <c r="E55" s="127">
        <v>50000000</v>
      </c>
      <c r="F55" s="127">
        <v>0</v>
      </c>
      <c r="G55" s="19" t="s">
        <v>42</v>
      </c>
      <c r="H55" s="19" t="s">
        <v>43</v>
      </c>
      <c r="I55" s="17" t="s">
        <v>235</v>
      </c>
      <c r="J55" s="32">
        <v>44495</v>
      </c>
      <c r="K55" s="17">
        <v>395</v>
      </c>
      <c r="L55" s="127">
        <v>1048809.4</v>
      </c>
      <c r="M55" s="32">
        <f t="shared" si="2"/>
        <v>44890</v>
      </c>
      <c r="N55" s="17">
        <v>0</v>
      </c>
      <c r="O55" s="127">
        <v>0</v>
      </c>
      <c r="P55" s="127">
        <v>0</v>
      </c>
      <c r="Q55" s="17" t="s">
        <v>49</v>
      </c>
      <c r="R55" s="127">
        <f>327136.12+149375.58</f>
        <v>476511.69999999995</v>
      </c>
      <c r="S55" s="127"/>
      <c r="T55" s="16">
        <f t="shared" si="3"/>
        <v>0</v>
      </c>
      <c r="U55" s="127">
        <v>327136.12</v>
      </c>
      <c r="V55" s="128" t="s">
        <v>31</v>
      </c>
      <c r="W55" s="119"/>
      <c r="AI55" s="119"/>
    </row>
    <row r="56" spans="1:35" s="20" customFormat="1" ht="31.5">
      <c r="A56" s="19" t="s">
        <v>236</v>
      </c>
      <c r="B56" s="19" t="s">
        <v>237</v>
      </c>
      <c r="C56" s="19">
        <v>0</v>
      </c>
      <c r="D56" s="127">
        <v>0</v>
      </c>
      <c r="E56" s="127">
        <v>0</v>
      </c>
      <c r="F56" s="127">
        <v>0</v>
      </c>
      <c r="G56" s="19" t="s">
        <v>238</v>
      </c>
      <c r="H56" s="19" t="s">
        <v>239</v>
      </c>
      <c r="I56" s="17" t="s">
        <v>240</v>
      </c>
      <c r="J56" s="32">
        <v>44455</v>
      </c>
      <c r="K56" s="17">
        <v>455</v>
      </c>
      <c r="L56" s="127">
        <v>1460562.75</v>
      </c>
      <c r="M56" s="32">
        <f t="shared" si="2"/>
        <v>44910</v>
      </c>
      <c r="N56" s="17">
        <v>0</v>
      </c>
      <c r="O56" s="127">
        <f>63378.48+161823.91</f>
        <v>225202.39</v>
      </c>
      <c r="P56" s="127">
        <v>0</v>
      </c>
      <c r="Q56" s="17" t="s">
        <v>30</v>
      </c>
      <c r="R56" s="127">
        <f>350636.78+259258.04</f>
        <v>609894.8200000001</v>
      </c>
      <c r="S56" s="127">
        <v>259258.04</v>
      </c>
      <c r="T56" s="16">
        <f t="shared" si="3"/>
        <v>259258.04</v>
      </c>
      <c r="U56" s="127">
        <v>609894.8200000001</v>
      </c>
      <c r="V56" s="128" t="s">
        <v>31</v>
      </c>
      <c r="W56" s="119"/>
      <c r="AI56" s="119"/>
    </row>
    <row r="57" spans="1:35" s="20" customFormat="1" ht="31.5">
      <c r="A57" s="19" t="s">
        <v>251</v>
      </c>
      <c r="B57" s="19" t="s">
        <v>242</v>
      </c>
      <c r="C57" s="19">
        <v>0</v>
      </c>
      <c r="D57" s="127">
        <v>0</v>
      </c>
      <c r="E57" s="127">
        <v>0</v>
      </c>
      <c r="F57" s="127">
        <v>0</v>
      </c>
      <c r="G57" s="19" t="s">
        <v>33</v>
      </c>
      <c r="H57" s="19" t="s">
        <v>91</v>
      </c>
      <c r="I57" s="17" t="s">
        <v>241</v>
      </c>
      <c r="J57" s="32">
        <v>44516</v>
      </c>
      <c r="K57" s="17">
        <v>790</v>
      </c>
      <c r="L57" s="127">
        <v>4874717.78</v>
      </c>
      <c r="M57" s="32">
        <f t="shared" si="2"/>
        <v>45306</v>
      </c>
      <c r="N57" s="17">
        <v>0</v>
      </c>
      <c r="O57" s="127">
        <v>0</v>
      </c>
      <c r="P57" s="127"/>
      <c r="Q57" s="17" t="s">
        <v>30</v>
      </c>
      <c r="R57" s="127">
        <f>1148634.99+955134.58</f>
        <v>2103769.57</v>
      </c>
      <c r="S57" s="127">
        <v>955134.58</v>
      </c>
      <c r="T57" s="16">
        <f t="shared" si="3"/>
        <v>955134.58</v>
      </c>
      <c r="U57" s="127">
        <v>2103769.57</v>
      </c>
      <c r="V57" s="128" t="s">
        <v>31</v>
      </c>
      <c r="W57" s="119"/>
      <c r="AI57" s="119"/>
    </row>
    <row r="58" spans="1:110" s="20" customFormat="1" ht="21">
      <c r="A58" s="19" t="s">
        <v>243</v>
      </c>
      <c r="B58" s="19" t="s">
        <v>244</v>
      </c>
      <c r="C58" s="19">
        <v>0</v>
      </c>
      <c r="D58" s="127">
        <v>0</v>
      </c>
      <c r="E58" s="127">
        <v>0</v>
      </c>
      <c r="F58" s="127">
        <v>0</v>
      </c>
      <c r="G58" s="19" t="s">
        <v>46</v>
      </c>
      <c r="H58" s="19" t="s">
        <v>54</v>
      </c>
      <c r="I58" s="17" t="s">
        <v>245</v>
      </c>
      <c r="J58" s="32">
        <v>44469</v>
      </c>
      <c r="K58" s="17">
        <v>180</v>
      </c>
      <c r="L58" s="127">
        <v>76577831.53</v>
      </c>
      <c r="M58" s="32">
        <f t="shared" si="2"/>
        <v>44649</v>
      </c>
      <c r="N58" s="17">
        <v>0</v>
      </c>
      <c r="O58" s="127">
        <v>0</v>
      </c>
      <c r="P58" s="127">
        <v>4813284.33</v>
      </c>
      <c r="Q58" s="17" t="s">
        <v>30</v>
      </c>
      <c r="R58" s="127">
        <f>27436795.55+36634234.03</f>
        <v>64071029.58</v>
      </c>
      <c r="S58" s="127">
        <v>35395558.67999999</v>
      </c>
      <c r="T58" s="16">
        <f t="shared" si="3"/>
        <v>35395558.67999999</v>
      </c>
      <c r="U58" s="127">
        <v>62832354.25</v>
      </c>
      <c r="V58" s="128" t="s">
        <v>31</v>
      </c>
      <c r="W58" s="120"/>
      <c r="X58" s="152"/>
      <c r="Y58" s="152"/>
      <c r="Z58" s="152"/>
      <c r="AA58" s="152"/>
      <c r="AB58" s="152"/>
      <c r="AC58" s="152"/>
      <c r="AD58" s="152"/>
      <c r="AE58" s="152"/>
      <c r="AF58" s="152"/>
      <c r="AG58" s="152"/>
      <c r="AH58" s="152"/>
      <c r="AI58" s="120"/>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row>
    <row r="59" spans="1:35" s="20" customFormat="1" ht="42.75">
      <c r="A59" s="19" t="s">
        <v>257</v>
      </c>
      <c r="B59" s="19" t="s">
        <v>265</v>
      </c>
      <c r="C59" s="19">
        <v>0</v>
      </c>
      <c r="D59" s="127">
        <v>0</v>
      </c>
      <c r="E59" s="127">
        <v>0</v>
      </c>
      <c r="F59" s="127">
        <v>0</v>
      </c>
      <c r="G59" s="19" t="s">
        <v>255</v>
      </c>
      <c r="H59" s="19" t="s">
        <v>254</v>
      </c>
      <c r="I59" s="17" t="s">
        <v>256</v>
      </c>
      <c r="J59" s="32">
        <v>44523</v>
      </c>
      <c r="K59" s="17">
        <v>60</v>
      </c>
      <c r="L59" s="127">
        <v>100000</v>
      </c>
      <c r="M59" s="32">
        <f t="shared" si="2"/>
        <v>44583</v>
      </c>
      <c r="N59" s="17">
        <v>0</v>
      </c>
      <c r="O59" s="127">
        <v>8966.94</v>
      </c>
      <c r="P59" s="127">
        <v>0</v>
      </c>
      <c r="Q59" s="17" t="s">
        <v>30</v>
      </c>
      <c r="R59" s="127">
        <f>99999.99+8966.94</f>
        <v>108966.93000000001</v>
      </c>
      <c r="S59" s="127">
        <v>45018.95</v>
      </c>
      <c r="T59" s="16">
        <f t="shared" si="3"/>
        <v>45018.95</v>
      </c>
      <c r="U59" s="127">
        <v>108966.93</v>
      </c>
      <c r="V59" s="128" t="s">
        <v>188</v>
      </c>
      <c r="W59" s="119"/>
      <c r="AI59" s="119"/>
    </row>
    <row r="60" spans="1:35" s="20" customFormat="1" ht="21">
      <c r="A60" s="19" t="s">
        <v>247</v>
      </c>
      <c r="B60" s="19" t="s">
        <v>248</v>
      </c>
      <c r="C60" s="19">
        <v>0</v>
      </c>
      <c r="D60" s="127">
        <v>0</v>
      </c>
      <c r="E60" s="127">
        <v>0</v>
      </c>
      <c r="F60" s="127">
        <v>0</v>
      </c>
      <c r="G60" s="19" t="s">
        <v>45</v>
      </c>
      <c r="H60" s="19" t="s">
        <v>59</v>
      </c>
      <c r="I60" s="17" t="s">
        <v>249</v>
      </c>
      <c r="J60" s="32">
        <v>44469</v>
      </c>
      <c r="K60" s="17">
        <v>180</v>
      </c>
      <c r="L60" s="127">
        <v>26846364.45</v>
      </c>
      <c r="M60" s="32">
        <f t="shared" si="2"/>
        <v>44649</v>
      </c>
      <c r="N60" s="17">
        <v>0</v>
      </c>
      <c r="O60" s="127">
        <v>0</v>
      </c>
      <c r="P60" s="127">
        <v>1905664.26</v>
      </c>
      <c r="Q60" s="17" t="s">
        <v>30</v>
      </c>
      <c r="R60" s="127">
        <f>12614972.37+9285354.63</f>
        <v>21900327</v>
      </c>
      <c r="S60" s="127">
        <v>9602716.930000002</v>
      </c>
      <c r="T60" s="16">
        <f t="shared" si="3"/>
        <v>9602716.930000002</v>
      </c>
      <c r="U60" s="127">
        <v>21539026.310000002</v>
      </c>
      <c r="V60" s="128" t="s">
        <v>31</v>
      </c>
      <c r="W60" s="119">
        <f>R60-U60</f>
        <v>361300.6899999976</v>
      </c>
      <c r="AI60" s="119"/>
    </row>
    <row r="61" spans="1:35" s="20" customFormat="1" ht="36" customHeight="1">
      <c r="A61" s="9" t="s">
        <v>353</v>
      </c>
      <c r="B61" s="14" t="s">
        <v>354</v>
      </c>
      <c r="C61" s="19"/>
      <c r="D61" s="127"/>
      <c r="E61" s="127"/>
      <c r="F61" s="127"/>
      <c r="G61" s="9" t="s">
        <v>35</v>
      </c>
      <c r="H61" s="14" t="s">
        <v>66</v>
      </c>
      <c r="I61" s="17" t="s">
        <v>355</v>
      </c>
      <c r="J61" s="32">
        <v>44530</v>
      </c>
      <c r="K61" s="17">
        <v>1920</v>
      </c>
      <c r="L61" s="132">
        <v>133146086.4</v>
      </c>
      <c r="M61" s="32">
        <f>J61+K61+N61</f>
        <v>46450</v>
      </c>
      <c r="N61" s="17">
        <v>0</v>
      </c>
      <c r="O61" s="127">
        <v>0</v>
      </c>
      <c r="P61" s="133">
        <v>6836727.6</v>
      </c>
      <c r="Q61" s="17" t="s">
        <v>30</v>
      </c>
      <c r="R61" s="132">
        <v>345374.99</v>
      </c>
      <c r="S61" s="127">
        <v>345374.99</v>
      </c>
      <c r="T61" s="16">
        <f>S61</f>
        <v>345374.99</v>
      </c>
      <c r="U61" s="127">
        <v>345374.99</v>
      </c>
      <c r="V61" s="128" t="s">
        <v>31</v>
      </c>
      <c r="W61" s="119"/>
      <c r="AI61" s="119"/>
    </row>
    <row r="62" spans="1:35" s="20" customFormat="1" ht="42.75">
      <c r="A62" s="19" t="s">
        <v>258</v>
      </c>
      <c r="B62" s="19" t="s">
        <v>264</v>
      </c>
      <c r="C62" s="19">
        <v>0</v>
      </c>
      <c r="D62" s="127">
        <v>0</v>
      </c>
      <c r="E62" s="127">
        <v>0</v>
      </c>
      <c r="F62" s="127">
        <v>0</v>
      </c>
      <c r="G62" s="19" t="s">
        <v>260</v>
      </c>
      <c r="H62" s="19" t="s">
        <v>261</v>
      </c>
      <c r="I62" s="17" t="s">
        <v>259</v>
      </c>
      <c r="J62" s="32">
        <v>44531</v>
      </c>
      <c r="K62" s="17">
        <v>760</v>
      </c>
      <c r="L62" s="127">
        <v>3696587.52</v>
      </c>
      <c r="M62" s="32">
        <f t="shared" si="2"/>
        <v>45291</v>
      </c>
      <c r="N62" s="17">
        <v>0</v>
      </c>
      <c r="O62" s="127">
        <v>0</v>
      </c>
      <c r="P62" s="127">
        <v>0</v>
      </c>
      <c r="Q62" s="17" t="s">
        <v>30</v>
      </c>
      <c r="R62" s="127">
        <f>31571.8+383797.25</f>
        <v>415369.05</v>
      </c>
      <c r="S62" s="127">
        <v>249788.94</v>
      </c>
      <c r="T62" s="16">
        <f t="shared" si="3"/>
        <v>249788.94</v>
      </c>
      <c r="U62" s="127">
        <v>281360.74</v>
      </c>
      <c r="V62" s="128" t="s">
        <v>31</v>
      </c>
      <c r="W62" s="119"/>
      <c r="AI62" s="119"/>
    </row>
    <row r="63" spans="1:35" s="20" customFormat="1" ht="42.75">
      <c r="A63" s="19" t="s">
        <v>258</v>
      </c>
      <c r="B63" s="19" t="s">
        <v>263</v>
      </c>
      <c r="C63" s="19">
        <v>0</v>
      </c>
      <c r="D63" s="127">
        <v>0</v>
      </c>
      <c r="E63" s="127">
        <v>0</v>
      </c>
      <c r="F63" s="127">
        <v>0</v>
      </c>
      <c r="G63" s="19" t="s">
        <v>260</v>
      </c>
      <c r="H63" s="19" t="s">
        <v>261</v>
      </c>
      <c r="I63" s="17" t="s">
        <v>262</v>
      </c>
      <c r="J63" s="32">
        <v>44532</v>
      </c>
      <c r="K63" s="17">
        <v>760</v>
      </c>
      <c r="L63" s="127">
        <v>3380477.52</v>
      </c>
      <c r="M63" s="32">
        <f t="shared" si="2"/>
        <v>45292</v>
      </c>
      <c r="N63" s="17">
        <v>0</v>
      </c>
      <c r="O63" s="127">
        <v>0</v>
      </c>
      <c r="P63" s="127">
        <v>0</v>
      </c>
      <c r="Q63" s="17" t="s">
        <v>30</v>
      </c>
      <c r="R63" s="127">
        <f>59569.46+362990.23</f>
        <v>422559.69</v>
      </c>
      <c r="S63" s="127">
        <v>222137</v>
      </c>
      <c r="T63" s="16">
        <f t="shared" si="3"/>
        <v>222137</v>
      </c>
      <c r="U63" s="127">
        <v>281706.46</v>
      </c>
      <c r="V63" s="128" t="s">
        <v>31</v>
      </c>
      <c r="W63" s="119"/>
      <c r="AI63" s="119"/>
    </row>
    <row r="64" spans="1:35" s="20" customFormat="1" ht="21">
      <c r="A64" s="14" t="s">
        <v>327</v>
      </c>
      <c r="B64" s="14" t="s">
        <v>328</v>
      </c>
      <c r="C64" s="19"/>
      <c r="D64" s="127"/>
      <c r="E64" s="127"/>
      <c r="F64" s="127"/>
      <c r="G64" s="9" t="s">
        <v>36</v>
      </c>
      <c r="H64" s="14" t="s">
        <v>114</v>
      </c>
      <c r="I64" s="17" t="s">
        <v>326</v>
      </c>
      <c r="J64" s="32">
        <v>44517</v>
      </c>
      <c r="K64" s="17">
        <v>90</v>
      </c>
      <c r="L64" s="132">
        <v>138202.17</v>
      </c>
      <c r="M64" s="32">
        <f t="shared" si="2"/>
        <v>44607</v>
      </c>
      <c r="N64" s="17">
        <v>0</v>
      </c>
      <c r="O64" s="127">
        <v>0</v>
      </c>
      <c r="P64" s="127">
        <v>0</v>
      </c>
      <c r="Q64" s="17" t="s">
        <v>30</v>
      </c>
      <c r="R64" s="132">
        <v>117656.25</v>
      </c>
      <c r="S64" s="127">
        <v>117656.25</v>
      </c>
      <c r="T64" s="16">
        <f t="shared" si="3"/>
        <v>117656.25</v>
      </c>
      <c r="U64" s="127">
        <v>117656.25</v>
      </c>
      <c r="V64" s="128" t="s">
        <v>31</v>
      </c>
      <c r="W64" s="119"/>
      <c r="AI64" s="119"/>
    </row>
    <row r="65" spans="1:35" s="20" customFormat="1" ht="53.25">
      <c r="A65" s="14" t="s">
        <v>329</v>
      </c>
      <c r="B65" s="14" t="s">
        <v>334</v>
      </c>
      <c r="C65" s="19" t="s">
        <v>357</v>
      </c>
      <c r="D65" s="127" t="s">
        <v>356</v>
      </c>
      <c r="E65" s="127">
        <v>3820000</v>
      </c>
      <c r="F65" s="127">
        <v>8000</v>
      </c>
      <c r="G65" s="14" t="s">
        <v>331</v>
      </c>
      <c r="H65" s="14" t="s">
        <v>332</v>
      </c>
      <c r="I65" s="17" t="s">
        <v>330</v>
      </c>
      <c r="J65" s="32">
        <v>44456</v>
      </c>
      <c r="K65" s="17">
        <v>210</v>
      </c>
      <c r="L65" s="129">
        <v>2111167.85</v>
      </c>
      <c r="M65" s="32">
        <f t="shared" si="2"/>
        <v>44666</v>
      </c>
      <c r="N65" s="17">
        <v>0</v>
      </c>
      <c r="O65" s="127">
        <v>0</v>
      </c>
      <c r="P65" s="130">
        <v>-1342.84</v>
      </c>
      <c r="Q65" s="17" t="s">
        <v>49</v>
      </c>
      <c r="R65" s="127">
        <v>499606.08</v>
      </c>
      <c r="S65" s="127"/>
      <c r="T65" s="16">
        <f t="shared" si="3"/>
        <v>0</v>
      </c>
      <c r="U65" s="127">
        <v>0</v>
      </c>
      <c r="V65" s="128" t="s">
        <v>31</v>
      </c>
      <c r="W65" s="119"/>
      <c r="AI65" s="119"/>
    </row>
    <row r="66" spans="1:35" s="20" customFormat="1" ht="53.25">
      <c r="A66" s="14" t="s">
        <v>329</v>
      </c>
      <c r="B66" s="14" t="s">
        <v>335</v>
      </c>
      <c r="C66" s="19" t="s">
        <v>357</v>
      </c>
      <c r="D66" s="127" t="s">
        <v>356</v>
      </c>
      <c r="E66" s="127">
        <v>3820000</v>
      </c>
      <c r="F66" s="127">
        <v>8000</v>
      </c>
      <c r="G66" s="14" t="s">
        <v>331</v>
      </c>
      <c r="H66" s="14" t="s">
        <v>332</v>
      </c>
      <c r="I66" s="17" t="s">
        <v>333</v>
      </c>
      <c r="J66" s="32">
        <v>44456</v>
      </c>
      <c r="K66" s="17">
        <v>180</v>
      </c>
      <c r="L66" s="129">
        <v>1022476.9</v>
      </c>
      <c r="M66" s="32">
        <f t="shared" si="2"/>
        <v>44726</v>
      </c>
      <c r="N66" s="17">
        <v>90</v>
      </c>
      <c r="O66" s="127">
        <v>0</v>
      </c>
      <c r="P66" s="131">
        <v>-817.52</v>
      </c>
      <c r="Q66" s="17" t="s">
        <v>49</v>
      </c>
      <c r="R66" s="127">
        <v>239052.4</v>
      </c>
      <c r="S66" s="127"/>
      <c r="T66" s="16">
        <f>S66</f>
        <v>0</v>
      </c>
      <c r="U66" s="127">
        <v>0</v>
      </c>
      <c r="V66" s="128" t="s">
        <v>31</v>
      </c>
      <c r="W66" s="119"/>
      <c r="AI66" s="119"/>
    </row>
    <row r="67" spans="1:35" s="20" customFormat="1" ht="31.5">
      <c r="A67" s="14" t="s">
        <v>371</v>
      </c>
      <c r="B67" s="9" t="s">
        <v>372</v>
      </c>
      <c r="C67" s="19"/>
      <c r="D67" s="127"/>
      <c r="E67" s="127"/>
      <c r="F67" s="127"/>
      <c r="G67" s="14" t="s">
        <v>373</v>
      </c>
      <c r="H67" s="14" t="s">
        <v>168</v>
      </c>
      <c r="I67" s="17" t="s">
        <v>374</v>
      </c>
      <c r="J67" s="44">
        <v>44531</v>
      </c>
      <c r="K67" s="17">
        <v>1155</v>
      </c>
      <c r="L67" s="129">
        <v>6729243.9</v>
      </c>
      <c r="M67" s="32">
        <f>J67+K67+N67</f>
        <v>45686</v>
      </c>
      <c r="N67" s="17">
        <v>0</v>
      </c>
      <c r="O67" s="127">
        <v>0</v>
      </c>
      <c r="P67" s="132">
        <f>P69-P61</f>
        <v>-6836727.6</v>
      </c>
      <c r="Q67" s="17" t="s">
        <v>30</v>
      </c>
      <c r="R67" s="127">
        <v>0</v>
      </c>
      <c r="S67" s="127"/>
      <c r="T67" s="16">
        <f>S67</f>
        <v>0</v>
      </c>
      <c r="U67" s="127"/>
      <c r="V67" s="128" t="s">
        <v>31</v>
      </c>
      <c r="W67" s="119"/>
      <c r="AI67" s="119"/>
    </row>
    <row r="68" spans="1:35" s="20" customFormat="1" ht="63.75" customHeight="1">
      <c r="A68" s="9" t="s">
        <v>337</v>
      </c>
      <c r="B68" s="135" t="s">
        <v>338</v>
      </c>
      <c r="C68" s="137"/>
      <c r="D68" s="138"/>
      <c r="E68" s="138"/>
      <c r="F68" s="127"/>
      <c r="G68" s="14" t="s">
        <v>339</v>
      </c>
      <c r="H68" s="14" t="s">
        <v>340</v>
      </c>
      <c r="I68" s="17" t="s">
        <v>336</v>
      </c>
      <c r="J68" s="32">
        <v>44531</v>
      </c>
      <c r="K68" s="139">
        <v>1890</v>
      </c>
      <c r="L68" s="141">
        <v>39551349</v>
      </c>
      <c r="M68" s="140">
        <f t="shared" si="2"/>
        <v>46421</v>
      </c>
      <c r="N68" s="17">
        <v>0</v>
      </c>
      <c r="O68" s="127">
        <v>0</v>
      </c>
      <c r="P68" s="131"/>
      <c r="Q68" s="17" t="s">
        <v>30</v>
      </c>
      <c r="R68" s="127">
        <v>1340635.89</v>
      </c>
      <c r="S68" s="138">
        <v>1340635.8900000001</v>
      </c>
      <c r="T68" s="142">
        <f t="shared" si="3"/>
        <v>1340635.8900000001</v>
      </c>
      <c r="U68" s="138">
        <v>1340635.8900000001</v>
      </c>
      <c r="V68" s="143" t="s">
        <v>31</v>
      </c>
      <c r="W68" s="119"/>
      <c r="AI68" s="119"/>
    </row>
    <row r="69" spans="1:35" s="20" customFormat="1" ht="47.25" customHeight="1">
      <c r="A69" s="14" t="s">
        <v>362</v>
      </c>
      <c r="B69" s="9" t="s">
        <v>363</v>
      </c>
      <c r="C69" s="19"/>
      <c r="D69" s="127"/>
      <c r="E69" s="127"/>
      <c r="F69" s="127"/>
      <c r="G69" s="14" t="s">
        <v>364</v>
      </c>
      <c r="H69" s="14" t="s">
        <v>365</v>
      </c>
      <c r="I69" s="17" t="s">
        <v>361</v>
      </c>
      <c r="J69" s="44">
        <v>44636</v>
      </c>
      <c r="K69" s="17">
        <v>90</v>
      </c>
      <c r="L69" s="129">
        <v>911954.77</v>
      </c>
      <c r="M69" s="32">
        <f>J69+K69+N69</f>
        <v>44726</v>
      </c>
      <c r="N69" s="17">
        <v>0</v>
      </c>
      <c r="O69" s="127">
        <v>0</v>
      </c>
      <c r="P69" s="127">
        <v>0</v>
      </c>
      <c r="Q69" s="17" t="s">
        <v>49</v>
      </c>
      <c r="R69" s="127">
        <v>0</v>
      </c>
      <c r="S69" s="127"/>
      <c r="T69" s="16">
        <f>S69</f>
        <v>0</v>
      </c>
      <c r="U69" s="127"/>
      <c r="V69" s="128" t="s">
        <v>31</v>
      </c>
      <c r="W69" s="119"/>
      <c r="AI69" s="119"/>
    </row>
    <row r="70" spans="1:35" s="20" customFormat="1" ht="53.25">
      <c r="A70" s="144" t="s">
        <v>342</v>
      </c>
      <c r="B70" s="9" t="s">
        <v>343</v>
      </c>
      <c r="C70" s="145" t="s">
        <v>358</v>
      </c>
      <c r="D70" s="146" t="s">
        <v>356</v>
      </c>
      <c r="E70" s="146">
        <v>355737</v>
      </c>
      <c r="F70" s="127">
        <v>2000</v>
      </c>
      <c r="G70" s="14" t="s">
        <v>86</v>
      </c>
      <c r="H70" s="19" t="s">
        <v>47</v>
      </c>
      <c r="I70" s="154" t="s">
        <v>341</v>
      </c>
      <c r="J70" s="32">
        <v>44603</v>
      </c>
      <c r="K70" s="147">
        <v>150</v>
      </c>
      <c r="L70" s="149">
        <v>193107.81</v>
      </c>
      <c r="M70" s="148">
        <f t="shared" si="2"/>
        <v>44753</v>
      </c>
      <c r="N70" s="17">
        <v>0</v>
      </c>
      <c r="O70" s="127">
        <v>0</v>
      </c>
      <c r="P70" s="131"/>
      <c r="Q70" s="17" t="s">
        <v>49</v>
      </c>
      <c r="R70" s="129"/>
      <c r="S70" s="146"/>
      <c r="T70" s="150">
        <f t="shared" si="3"/>
        <v>0</v>
      </c>
      <c r="U70" s="146">
        <v>0</v>
      </c>
      <c r="V70" s="151" t="s">
        <v>31</v>
      </c>
      <c r="W70" s="119"/>
      <c r="AI70" s="119"/>
    </row>
    <row r="71" spans="1:35" s="20" customFormat="1" ht="53.25">
      <c r="A71" s="9" t="s">
        <v>342</v>
      </c>
      <c r="B71" s="14" t="s">
        <v>343</v>
      </c>
      <c r="C71" s="19" t="s">
        <v>358</v>
      </c>
      <c r="D71" s="127" t="s">
        <v>356</v>
      </c>
      <c r="E71" s="127">
        <v>355737</v>
      </c>
      <c r="F71" s="127">
        <v>2000</v>
      </c>
      <c r="G71" s="14" t="s">
        <v>86</v>
      </c>
      <c r="H71" s="19" t="s">
        <v>47</v>
      </c>
      <c r="I71" s="17" t="s">
        <v>344</v>
      </c>
      <c r="J71" s="32">
        <v>44603</v>
      </c>
      <c r="K71" s="17">
        <v>150</v>
      </c>
      <c r="L71" s="129">
        <v>119800.38</v>
      </c>
      <c r="M71" s="32">
        <f t="shared" si="2"/>
        <v>44753</v>
      </c>
      <c r="N71" s="17">
        <v>0</v>
      </c>
      <c r="O71" s="127">
        <v>0</v>
      </c>
      <c r="P71" s="131"/>
      <c r="Q71" s="17" t="s">
        <v>49</v>
      </c>
      <c r="R71" s="129">
        <v>5813.89</v>
      </c>
      <c r="S71" s="127"/>
      <c r="T71" s="16">
        <f t="shared" si="3"/>
        <v>0</v>
      </c>
      <c r="U71" s="127">
        <v>0</v>
      </c>
      <c r="V71" s="128" t="s">
        <v>31</v>
      </c>
      <c r="W71" s="119"/>
      <c r="AI71" s="119"/>
    </row>
    <row r="72" spans="1:35" s="20" customFormat="1" ht="33.75" customHeight="1">
      <c r="A72" s="9" t="s">
        <v>366</v>
      </c>
      <c r="B72" s="14" t="s">
        <v>367</v>
      </c>
      <c r="C72" s="19"/>
      <c r="D72" s="127"/>
      <c r="E72" s="127"/>
      <c r="F72" s="127"/>
      <c r="G72" s="14" t="s">
        <v>368</v>
      </c>
      <c r="H72" s="14" t="s">
        <v>369</v>
      </c>
      <c r="I72" s="17" t="s">
        <v>370</v>
      </c>
      <c r="J72" s="44">
        <v>44615</v>
      </c>
      <c r="K72" s="17">
        <v>645</v>
      </c>
      <c r="L72" s="129">
        <v>9469419.63</v>
      </c>
      <c r="M72" s="32">
        <f>J72+K72+N72</f>
        <v>45260</v>
      </c>
      <c r="N72" s="17">
        <v>0</v>
      </c>
      <c r="O72" s="127">
        <v>0</v>
      </c>
      <c r="P72" s="127">
        <v>0</v>
      </c>
      <c r="Q72" s="17" t="s">
        <v>49</v>
      </c>
      <c r="R72" s="127">
        <v>0</v>
      </c>
      <c r="S72" s="127"/>
      <c r="T72" s="16">
        <f>S72</f>
        <v>0</v>
      </c>
      <c r="U72" s="127"/>
      <c r="V72" s="128" t="s">
        <v>31</v>
      </c>
      <c r="W72" s="119"/>
      <c r="AI72" s="119"/>
    </row>
    <row r="73" spans="1:35" s="20" customFormat="1" ht="42.75">
      <c r="A73" s="14" t="s">
        <v>346</v>
      </c>
      <c r="B73" s="9" t="s">
        <v>347</v>
      </c>
      <c r="C73" s="19"/>
      <c r="D73" s="127"/>
      <c r="E73" s="127"/>
      <c r="F73" s="127"/>
      <c r="G73" s="14" t="s">
        <v>92</v>
      </c>
      <c r="H73" s="14" t="s">
        <v>93</v>
      </c>
      <c r="I73" s="17" t="s">
        <v>345</v>
      </c>
      <c r="J73" s="32">
        <v>44559</v>
      </c>
      <c r="K73" s="17">
        <v>150</v>
      </c>
      <c r="L73" s="129">
        <v>316211.92</v>
      </c>
      <c r="M73" s="32">
        <f t="shared" si="2"/>
        <v>44709</v>
      </c>
      <c r="N73" s="17">
        <v>0</v>
      </c>
      <c r="O73" s="127">
        <v>0</v>
      </c>
      <c r="P73" s="131"/>
      <c r="Q73" s="17" t="s">
        <v>30</v>
      </c>
      <c r="R73" s="129">
        <v>137321.59</v>
      </c>
      <c r="S73" s="127"/>
      <c r="T73" s="16">
        <f t="shared" si="3"/>
        <v>0</v>
      </c>
      <c r="U73" s="127">
        <v>0</v>
      </c>
      <c r="V73" s="128" t="s">
        <v>31</v>
      </c>
      <c r="W73" s="119"/>
      <c r="AI73" s="119"/>
    </row>
    <row r="74" spans="1:35" s="20" customFormat="1" ht="42.75">
      <c r="A74" s="9" t="s">
        <v>348</v>
      </c>
      <c r="B74" s="14" t="s">
        <v>349</v>
      </c>
      <c r="C74" s="19" t="s">
        <v>230</v>
      </c>
      <c r="D74" s="127" t="s">
        <v>108</v>
      </c>
      <c r="E74" s="127">
        <v>50000000</v>
      </c>
      <c r="F74" s="127"/>
      <c r="G74" s="14" t="s">
        <v>350</v>
      </c>
      <c r="H74" s="9" t="s">
        <v>351</v>
      </c>
      <c r="I74" s="17" t="s">
        <v>352</v>
      </c>
      <c r="J74" s="32">
        <v>44559</v>
      </c>
      <c r="K74" s="17">
        <v>90</v>
      </c>
      <c r="L74" s="129">
        <v>279121.41</v>
      </c>
      <c r="M74" s="32">
        <f t="shared" si="2"/>
        <v>44708</v>
      </c>
      <c r="N74" s="17">
        <v>59</v>
      </c>
      <c r="O74" s="127">
        <v>0</v>
      </c>
      <c r="P74" s="131"/>
      <c r="Q74" s="17" t="s">
        <v>49</v>
      </c>
      <c r="R74" s="127">
        <v>0</v>
      </c>
      <c r="S74" s="127"/>
      <c r="T74" s="16">
        <f t="shared" si="3"/>
        <v>0</v>
      </c>
      <c r="U74" s="127">
        <v>0</v>
      </c>
      <c r="V74" s="128" t="s">
        <v>31</v>
      </c>
      <c r="W74" s="119"/>
      <c r="AI74" s="119"/>
    </row>
    <row r="75" spans="1:35" s="20" customFormat="1" ht="42.75">
      <c r="A75" s="14" t="s">
        <v>274</v>
      </c>
      <c r="B75" s="14" t="s">
        <v>275</v>
      </c>
      <c r="C75" s="19" t="s">
        <v>230</v>
      </c>
      <c r="D75" s="127" t="s">
        <v>108</v>
      </c>
      <c r="E75" s="127">
        <v>50000000</v>
      </c>
      <c r="F75" s="127"/>
      <c r="G75" s="14" t="s">
        <v>92</v>
      </c>
      <c r="H75" s="14" t="s">
        <v>93</v>
      </c>
      <c r="I75" s="17" t="s">
        <v>276</v>
      </c>
      <c r="J75" s="32">
        <v>44599</v>
      </c>
      <c r="K75" s="17">
        <v>150</v>
      </c>
      <c r="L75" s="129">
        <v>2245061.82</v>
      </c>
      <c r="M75" s="32">
        <f t="shared" si="2"/>
        <v>44749</v>
      </c>
      <c r="N75" s="17">
        <v>0</v>
      </c>
      <c r="O75" s="127">
        <v>0</v>
      </c>
      <c r="P75" s="127">
        <v>0</v>
      </c>
      <c r="Q75" s="17" t="s">
        <v>49</v>
      </c>
      <c r="R75" s="127"/>
      <c r="S75" s="127"/>
      <c r="T75" s="16">
        <f t="shared" si="3"/>
        <v>0</v>
      </c>
      <c r="U75" s="127">
        <v>0</v>
      </c>
      <c r="V75" s="128" t="s">
        <v>31</v>
      </c>
      <c r="W75" s="119"/>
      <c r="AI75" s="119"/>
    </row>
    <row r="76" spans="1:35" s="20" customFormat="1" ht="31.5">
      <c r="A76" s="14" t="s">
        <v>277</v>
      </c>
      <c r="B76" s="14" t="s">
        <v>278</v>
      </c>
      <c r="C76" s="19"/>
      <c r="D76" s="127"/>
      <c r="E76" s="127"/>
      <c r="F76" s="127"/>
      <c r="G76" s="14" t="s">
        <v>92</v>
      </c>
      <c r="H76" s="14" t="s">
        <v>93</v>
      </c>
      <c r="I76" s="17" t="s">
        <v>279</v>
      </c>
      <c r="J76" s="32">
        <v>44589</v>
      </c>
      <c r="K76" s="17">
        <v>760</v>
      </c>
      <c r="L76" s="129">
        <v>1418802</v>
      </c>
      <c r="M76" s="32">
        <f t="shared" si="2"/>
        <v>45349</v>
      </c>
      <c r="N76" s="17">
        <v>0</v>
      </c>
      <c r="O76" s="132">
        <v>130967.16</v>
      </c>
      <c r="P76" s="127">
        <v>0</v>
      </c>
      <c r="Q76" s="17" t="s">
        <v>30</v>
      </c>
      <c r="R76" s="132">
        <v>33619.91</v>
      </c>
      <c r="S76" s="127">
        <v>33619.91</v>
      </c>
      <c r="T76" s="16">
        <f t="shared" si="3"/>
        <v>33619.91</v>
      </c>
      <c r="U76" s="127">
        <v>33619.91</v>
      </c>
      <c r="V76" s="128" t="s">
        <v>31</v>
      </c>
      <c r="W76" s="119"/>
      <c r="AI76" s="119"/>
    </row>
    <row r="77" spans="1:35" s="20" customFormat="1" ht="42.75">
      <c r="A77" s="14" t="s">
        <v>280</v>
      </c>
      <c r="B77" s="9" t="s">
        <v>281</v>
      </c>
      <c r="C77" s="19" t="s">
        <v>230</v>
      </c>
      <c r="D77" s="127" t="s">
        <v>108</v>
      </c>
      <c r="E77" s="127">
        <v>50000000</v>
      </c>
      <c r="F77" s="127"/>
      <c r="G77" s="14" t="s">
        <v>92</v>
      </c>
      <c r="H77" s="14" t="s">
        <v>93</v>
      </c>
      <c r="I77" s="17" t="s">
        <v>282</v>
      </c>
      <c r="J77" s="32">
        <v>44589</v>
      </c>
      <c r="K77" s="17">
        <v>760</v>
      </c>
      <c r="L77" s="132">
        <v>3730846.67</v>
      </c>
      <c r="M77" s="32">
        <f t="shared" si="2"/>
        <v>45349</v>
      </c>
      <c r="N77" s="17">
        <v>0</v>
      </c>
      <c r="O77" s="127">
        <v>0</v>
      </c>
      <c r="P77" s="127"/>
      <c r="Q77" s="17" t="s">
        <v>49</v>
      </c>
      <c r="R77" s="127"/>
      <c r="S77" s="127"/>
      <c r="T77" s="16">
        <f t="shared" si="3"/>
        <v>0</v>
      </c>
      <c r="U77" s="127">
        <v>0</v>
      </c>
      <c r="V77" s="128" t="s">
        <v>31</v>
      </c>
      <c r="W77" s="119"/>
      <c r="AI77" s="119"/>
    </row>
    <row r="78" spans="1:35" s="20" customFormat="1" ht="31.5">
      <c r="A78" s="19" t="s">
        <v>284</v>
      </c>
      <c r="B78" s="14" t="s">
        <v>285</v>
      </c>
      <c r="C78" s="19"/>
      <c r="D78" s="127"/>
      <c r="E78" s="127"/>
      <c r="F78" s="127"/>
      <c r="G78" s="14" t="s">
        <v>286</v>
      </c>
      <c r="H78" s="14" t="s">
        <v>287</v>
      </c>
      <c r="I78" s="154" t="s">
        <v>283</v>
      </c>
      <c r="J78" s="32">
        <v>44602</v>
      </c>
      <c r="K78" s="154">
        <v>165</v>
      </c>
      <c r="L78" s="129">
        <v>119999.98</v>
      </c>
      <c r="M78" s="32">
        <f t="shared" si="2"/>
        <v>44767</v>
      </c>
      <c r="N78" s="17">
        <v>0</v>
      </c>
      <c r="O78" s="127">
        <v>0</v>
      </c>
      <c r="P78" s="127"/>
      <c r="Q78" s="17" t="s">
        <v>49</v>
      </c>
      <c r="R78" s="127">
        <v>0</v>
      </c>
      <c r="S78" s="127"/>
      <c r="T78" s="16">
        <f t="shared" si="3"/>
        <v>0</v>
      </c>
      <c r="U78" s="127">
        <v>0</v>
      </c>
      <c r="V78" s="128" t="s">
        <v>288</v>
      </c>
      <c r="W78" s="119"/>
      <c r="AI78" s="119"/>
    </row>
    <row r="79" spans="1:35" s="20" customFormat="1" ht="42.75">
      <c r="A79" s="19" t="s">
        <v>289</v>
      </c>
      <c r="B79" s="9" t="s">
        <v>290</v>
      </c>
      <c r="C79" s="19"/>
      <c r="D79" s="127"/>
      <c r="E79" s="127"/>
      <c r="F79" s="127"/>
      <c r="G79" s="14" t="s">
        <v>292</v>
      </c>
      <c r="H79" s="14" t="s">
        <v>293</v>
      </c>
      <c r="I79" s="17" t="s">
        <v>291</v>
      </c>
      <c r="J79" s="32">
        <v>44606</v>
      </c>
      <c r="K79" s="17">
        <v>270</v>
      </c>
      <c r="L79" s="132">
        <v>493303.08</v>
      </c>
      <c r="M79" s="32">
        <f t="shared" si="2"/>
        <v>44876</v>
      </c>
      <c r="N79" s="17">
        <v>0</v>
      </c>
      <c r="O79" s="127">
        <v>0</v>
      </c>
      <c r="P79" s="127"/>
      <c r="Q79" s="17" t="s">
        <v>49</v>
      </c>
      <c r="R79" s="127">
        <v>0</v>
      </c>
      <c r="S79" s="127"/>
      <c r="T79" s="16">
        <f t="shared" si="3"/>
        <v>0</v>
      </c>
      <c r="U79" s="127">
        <v>0</v>
      </c>
      <c r="V79" s="128" t="s">
        <v>31</v>
      </c>
      <c r="W79" s="119"/>
      <c r="AI79" s="119"/>
    </row>
    <row r="80" spans="1:35" s="20" customFormat="1" ht="42.75">
      <c r="A80" s="9" t="s">
        <v>295</v>
      </c>
      <c r="B80" s="14" t="s">
        <v>296</v>
      </c>
      <c r="C80" s="19"/>
      <c r="D80" s="127"/>
      <c r="E80" s="127"/>
      <c r="F80" s="127"/>
      <c r="G80" s="14" t="s">
        <v>44</v>
      </c>
      <c r="H80" s="19" t="s">
        <v>50</v>
      </c>
      <c r="I80" s="17" t="s">
        <v>294</v>
      </c>
      <c r="J80" s="32">
        <v>44606</v>
      </c>
      <c r="K80" s="17">
        <v>395</v>
      </c>
      <c r="L80" s="129">
        <v>1392960</v>
      </c>
      <c r="M80" s="32">
        <f t="shared" si="2"/>
        <v>45001</v>
      </c>
      <c r="N80" s="17">
        <v>0</v>
      </c>
      <c r="O80" s="127">
        <v>0</v>
      </c>
      <c r="P80" s="127">
        <v>0</v>
      </c>
      <c r="Q80" s="17" t="s">
        <v>30</v>
      </c>
      <c r="R80" s="132">
        <v>203952.56</v>
      </c>
      <c r="S80" s="127">
        <v>203952.56</v>
      </c>
      <c r="T80" s="16">
        <f t="shared" si="3"/>
        <v>203952.56</v>
      </c>
      <c r="U80" s="127">
        <v>203952.56</v>
      </c>
      <c r="V80" s="128" t="s">
        <v>31</v>
      </c>
      <c r="W80" s="119"/>
      <c r="AI80" s="119"/>
    </row>
    <row r="81" spans="1:35" s="20" customFormat="1" ht="42.75">
      <c r="A81" s="19" t="s">
        <v>298</v>
      </c>
      <c r="B81" s="9" t="s">
        <v>299</v>
      </c>
      <c r="C81" s="19" t="s">
        <v>230</v>
      </c>
      <c r="D81" s="127" t="s">
        <v>108</v>
      </c>
      <c r="E81" s="127">
        <v>50000000</v>
      </c>
      <c r="F81" s="127"/>
      <c r="G81" s="14" t="s">
        <v>42</v>
      </c>
      <c r="H81" s="14" t="s">
        <v>43</v>
      </c>
      <c r="I81" s="17" t="s">
        <v>297</v>
      </c>
      <c r="J81" s="32">
        <v>44610</v>
      </c>
      <c r="K81" s="17">
        <v>150</v>
      </c>
      <c r="L81" s="132">
        <v>811940.61</v>
      </c>
      <c r="M81" s="32">
        <f t="shared" si="2"/>
        <v>44760</v>
      </c>
      <c r="N81" s="17">
        <v>0</v>
      </c>
      <c r="O81" s="127">
        <v>0</v>
      </c>
      <c r="P81" s="127">
        <v>0</v>
      </c>
      <c r="Q81" s="17" t="s">
        <v>49</v>
      </c>
      <c r="R81" s="127">
        <v>0</v>
      </c>
      <c r="S81" s="127"/>
      <c r="T81" s="16">
        <f t="shared" si="3"/>
        <v>0</v>
      </c>
      <c r="U81" s="127">
        <v>0</v>
      </c>
      <c r="V81" s="128" t="s">
        <v>31</v>
      </c>
      <c r="W81" s="119"/>
      <c r="AI81" s="119"/>
    </row>
    <row r="82" spans="1:35" s="20" customFormat="1" ht="21">
      <c r="A82" s="14" t="s">
        <v>301</v>
      </c>
      <c r="B82" s="14" t="s">
        <v>302</v>
      </c>
      <c r="C82" s="19"/>
      <c r="D82" s="127"/>
      <c r="E82" s="127"/>
      <c r="F82" s="127"/>
      <c r="G82" s="14" t="s">
        <v>303</v>
      </c>
      <c r="H82" s="9" t="s">
        <v>304</v>
      </c>
      <c r="I82" s="17" t="s">
        <v>300</v>
      </c>
      <c r="J82" s="32">
        <v>44615</v>
      </c>
      <c r="K82" s="17">
        <v>180</v>
      </c>
      <c r="L82" s="129">
        <v>477968.09</v>
      </c>
      <c r="M82" s="32">
        <f t="shared" si="2"/>
        <v>44795</v>
      </c>
      <c r="N82" s="17">
        <v>0</v>
      </c>
      <c r="O82" s="127">
        <v>0</v>
      </c>
      <c r="P82" s="127">
        <v>0</v>
      </c>
      <c r="Q82" s="17" t="s">
        <v>49</v>
      </c>
      <c r="R82" s="132">
        <v>266723.9</v>
      </c>
      <c r="S82" s="127">
        <v>266723.9</v>
      </c>
      <c r="T82" s="16">
        <f t="shared" si="3"/>
        <v>266723.9</v>
      </c>
      <c r="U82" s="127">
        <v>266723.9</v>
      </c>
      <c r="V82" s="128" t="s">
        <v>31</v>
      </c>
      <c r="W82" s="119"/>
      <c r="AI82" s="119"/>
    </row>
    <row r="83" spans="1:35" s="20" customFormat="1" ht="53.25">
      <c r="A83" s="14" t="s">
        <v>306</v>
      </c>
      <c r="B83" s="9" t="s">
        <v>307</v>
      </c>
      <c r="C83" s="19" t="s">
        <v>359</v>
      </c>
      <c r="D83" s="127" t="s">
        <v>356</v>
      </c>
      <c r="E83" s="127">
        <v>767341</v>
      </c>
      <c r="F83" s="127">
        <v>8000</v>
      </c>
      <c r="G83" s="14" t="s">
        <v>303</v>
      </c>
      <c r="H83" s="14" t="s">
        <v>304</v>
      </c>
      <c r="I83" s="17" t="s">
        <v>305</v>
      </c>
      <c r="J83" s="32">
        <v>44630</v>
      </c>
      <c r="K83" s="17">
        <v>180</v>
      </c>
      <c r="L83" s="132">
        <v>730428.03</v>
      </c>
      <c r="M83" s="32">
        <f t="shared" si="2"/>
        <v>44810</v>
      </c>
      <c r="N83" s="17">
        <v>0</v>
      </c>
      <c r="O83" s="127">
        <v>0</v>
      </c>
      <c r="P83" s="127">
        <v>0</v>
      </c>
      <c r="Q83" s="17" t="s">
        <v>49</v>
      </c>
      <c r="R83" s="127">
        <v>0</v>
      </c>
      <c r="S83" s="127"/>
      <c r="T83" s="16">
        <f t="shared" si="3"/>
        <v>0</v>
      </c>
      <c r="U83" s="127">
        <v>0</v>
      </c>
      <c r="V83" s="128" t="s">
        <v>288</v>
      </c>
      <c r="W83" s="119"/>
      <c r="AI83" s="119"/>
    </row>
    <row r="84" spans="1:35" s="20" customFormat="1" ht="42.75">
      <c r="A84" s="19" t="s">
        <v>309</v>
      </c>
      <c r="B84" s="14" t="s">
        <v>310</v>
      </c>
      <c r="C84" s="19"/>
      <c r="D84" s="127"/>
      <c r="E84" s="127"/>
      <c r="F84" s="127"/>
      <c r="G84" s="134" t="s">
        <v>311</v>
      </c>
      <c r="H84" s="14" t="s">
        <v>77</v>
      </c>
      <c r="I84" s="17" t="s">
        <v>308</v>
      </c>
      <c r="J84" s="32">
        <v>44635</v>
      </c>
      <c r="K84" s="17">
        <v>1890</v>
      </c>
      <c r="L84" s="129">
        <v>28992600</v>
      </c>
      <c r="M84" s="32">
        <f t="shared" si="2"/>
        <v>46525</v>
      </c>
      <c r="N84" s="17">
        <v>0</v>
      </c>
      <c r="O84" s="127">
        <v>0</v>
      </c>
      <c r="P84" s="127">
        <v>0</v>
      </c>
      <c r="Q84" s="17" t="s">
        <v>30</v>
      </c>
      <c r="R84" s="127">
        <v>0</v>
      </c>
      <c r="S84" s="127"/>
      <c r="T84" s="16">
        <f t="shared" si="3"/>
        <v>0</v>
      </c>
      <c r="U84" s="127">
        <v>0</v>
      </c>
      <c r="V84" s="128" t="s">
        <v>31</v>
      </c>
      <c r="W84" s="119"/>
      <c r="AI84" s="119"/>
    </row>
    <row r="85" spans="1:35" s="20" customFormat="1" ht="53.25">
      <c r="A85" s="14" t="s">
        <v>306</v>
      </c>
      <c r="B85" s="9" t="s">
        <v>313</v>
      </c>
      <c r="C85" s="19"/>
      <c r="D85" s="127" t="s">
        <v>360</v>
      </c>
      <c r="E85" s="127">
        <v>3139993</v>
      </c>
      <c r="F85" s="127"/>
      <c r="G85" s="14" t="s">
        <v>209</v>
      </c>
      <c r="H85" s="14" t="s">
        <v>210</v>
      </c>
      <c r="I85" s="17" t="s">
        <v>312</v>
      </c>
      <c r="J85" s="32">
        <v>44650</v>
      </c>
      <c r="K85" s="17">
        <v>150</v>
      </c>
      <c r="L85" s="132">
        <v>789983.51</v>
      </c>
      <c r="M85" s="32">
        <f aca="true" t="shared" si="4" ref="M85:M90">J85+K85+N85</f>
        <v>44800</v>
      </c>
      <c r="N85" s="17">
        <v>0</v>
      </c>
      <c r="O85" s="127">
        <v>0</v>
      </c>
      <c r="P85" s="127">
        <v>0</v>
      </c>
      <c r="Q85" s="17" t="s">
        <v>49</v>
      </c>
      <c r="R85" s="127">
        <v>0</v>
      </c>
      <c r="S85" s="127"/>
      <c r="T85" s="16">
        <f aca="true" t="shared" si="5" ref="T85:T90">S85</f>
        <v>0</v>
      </c>
      <c r="U85" s="127">
        <v>0</v>
      </c>
      <c r="V85" s="128" t="s">
        <v>31</v>
      </c>
      <c r="W85" s="119"/>
      <c r="AI85" s="119"/>
    </row>
    <row r="86" spans="1:35" s="20" customFormat="1" ht="31.5">
      <c r="A86" s="14" t="s">
        <v>318</v>
      </c>
      <c r="B86" s="14" t="s">
        <v>319</v>
      </c>
      <c r="C86" s="19"/>
      <c r="D86" s="127"/>
      <c r="E86" s="127"/>
      <c r="F86" s="127"/>
      <c r="G86" s="135" t="s">
        <v>46</v>
      </c>
      <c r="H86" s="9" t="s">
        <v>54</v>
      </c>
      <c r="I86" s="17" t="s">
        <v>314</v>
      </c>
      <c r="J86" s="32">
        <v>44649</v>
      </c>
      <c r="K86" s="17">
        <v>1825</v>
      </c>
      <c r="L86" s="129">
        <v>201897816.06</v>
      </c>
      <c r="M86" s="32">
        <f t="shared" si="4"/>
        <v>46474</v>
      </c>
      <c r="N86" s="17">
        <v>0</v>
      </c>
      <c r="O86" s="127">
        <v>0</v>
      </c>
      <c r="P86" s="127">
        <v>0</v>
      </c>
      <c r="Q86" s="17" t="s">
        <v>30</v>
      </c>
      <c r="R86" s="127">
        <v>0</v>
      </c>
      <c r="S86" s="127"/>
      <c r="T86" s="16">
        <f t="shared" si="5"/>
        <v>0</v>
      </c>
      <c r="U86" s="127">
        <v>0</v>
      </c>
      <c r="V86" s="128" t="s">
        <v>31</v>
      </c>
      <c r="W86" s="119"/>
      <c r="AI86" s="119"/>
    </row>
    <row r="87" spans="1:35" s="20" customFormat="1" ht="31.5">
      <c r="A87" s="14" t="s">
        <v>318</v>
      </c>
      <c r="B87" s="136" t="s">
        <v>320</v>
      </c>
      <c r="C87" s="19"/>
      <c r="D87" s="127"/>
      <c r="E87" s="127"/>
      <c r="F87" s="127"/>
      <c r="G87" s="14" t="s">
        <v>45</v>
      </c>
      <c r="H87" s="19" t="s">
        <v>59</v>
      </c>
      <c r="I87" s="17" t="s">
        <v>315</v>
      </c>
      <c r="J87" s="32">
        <v>44649</v>
      </c>
      <c r="K87" s="17">
        <v>1825</v>
      </c>
      <c r="L87" s="132">
        <v>86512024.75</v>
      </c>
      <c r="M87" s="32">
        <f t="shared" si="4"/>
        <v>46474</v>
      </c>
      <c r="N87" s="17">
        <v>0</v>
      </c>
      <c r="O87" s="127">
        <v>0</v>
      </c>
      <c r="P87" s="127">
        <v>0</v>
      </c>
      <c r="Q87" s="17" t="s">
        <v>30</v>
      </c>
      <c r="R87" s="127">
        <v>0</v>
      </c>
      <c r="S87" s="127"/>
      <c r="T87" s="16">
        <f t="shared" si="5"/>
        <v>0</v>
      </c>
      <c r="U87" s="127">
        <v>0</v>
      </c>
      <c r="V87" s="128" t="s">
        <v>31</v>
      </c>
      <c r="W87" s="119"/>
      <c r="AI87" s="119"/>
    </row>
    <row r="88" spans="1:35" s="20" customFormat="1" ht="31.5">
      <c r="A88" s="14" t="s">
        <v>318</v>
      </c>
      <c r="B88" s="14" t="s">
        <v>321</v>
      </c>
      <c r="C88" s="19"/>
      <c r="D88" s="127"/>
      <c r="E88" s="127"/>
      <c r="F88" s="127"/>
      <c r="G88" s="14" t="s">
        <v>46</v>
      </c>
      <c r="H88" s="14" t="s">
        <v>54</v>
      </c>
      <c r="I88" s="17" t="s">
        <v>316</v>
      </c>
      <c r="J88" s="32">
        <v>44649</v>
      </c>
      <c r="K88" s="17">
        <v>1825</v>
      </c>
      <c r="L88" s="129">
        <v>480063123.51</v>
      </c>
      <c r="M88" s="32">
        <f t="shared" si="4"/>
        <v>46474</v>
      </c>
      <c r="N88" s="17">
        <v>0</v>
      </c>
      <c r="O88" s="127">
        <v>0</v>
      </c>
      <c r="P88" s="127">
        <v>0</v>
      </c>
      <c r="Q88" s="17" t="s">
        <v>30</v>
      </c>
      <c r="R88" s="127">
        <v>0</v>
      </c>
      <c r="S88" s="127"/>
      <c r="T88" s="16">
        <f t="shared" si="5"/>
        <v>0</v>
      </c>
      <c r="U88" s="127">
        <v>0</v>
      </c>
      <c r="V88" s="128" t="s">
        <v>31</v>
      </c>
      <c r="W88" s="119"/>
      <c r="AI88" s="119"/>
    </row>
    <row r="89" spans="1:35" s="20" customFormat="1" ht="31.5">
      <c r="A89" s="14" t="s">
        <v>318</v>
      </c>
      <c r="B89" s="9" t="s">
        <v>322</v>
      </c>
      <c r="C89" s="19"/>
      <c r="D89" s="127"/>
      <c r="E89" s="127"/>
      <c r="F89" s="127"/>
      <c r="G89" s="14" t="s">
        <v>45</v>
      </c>
      <c r="H89" s="19" t="s">
        <v>59</v>
      </c>
      <c r="I89" s="17" t="s">
        <v>317</v>
      </c>
      <c r="J89" s="32">
        <v>44649</v>
      </c>
      <c r="K89" s="17">
        <v>1825</v>
      </c>
      <c r="L89" s="132">
        <v>205730360.58</v>
      </c>
      <c r="M89" s="32">
        <f t="shared" si="4"/>
        <v>46474</v>
      </c>
      <c r="N89" s="17">
        <v>0</v>
      </c>
      <c r="O89" s="127">
        <v>0</v>
      </c>
      <c r="P89" s="127">
        <v>0</v>
      </c>
      <c r="Q89" s="17" t="s">
        <v>30</v>
      </c>
      <c r="R89" s="127">
        <v>0</v>
      </c>
      <c r="S89" s="127"/>
      <c r="T89" s="16">
        <f t="shared" si="5"/>
        <v>0</v>
      </c>
      <c r="U89" s="127">
        <v>0</v>
      </c>
      <c r="V89" s="128" t="s">
        <v>31</v>
      </c>
      <c r="W89" s="119"/>
      <c r="AI89" s="119"/>
    </row>
    <row r="90" spans="1:35" s="20" customFormat="1" ht="53.25">
      <c r="A90" s="14" t="s">
        <v>324</v>
      </c>
      <c r="B90" s="14" t="s">
        <v>325</v>
      </c>
      <c r="C90" s="19" t="s">
        <v>230</v>
      </c>
      <c r="D90" s="127" t="s">
        <v>108</v>
      </c>
      <c r="E90" s="127">
        <v>50000000</v>
      </c>
      <c r="F90" s="127"/>
      <c r="G90" s="14" t="s">
        <v>42</v>
      </c>
      <c r="H90" s="14" t="s">
        <v>43</v>
      </c>
      <c r="I90" s="17" t="s">
        <v>323</v>
      </c>
      <c r="J90" s="32">
        <v>44651</v>
      </c>
      <c r="K90" s="17">
        <v>150</v>
      </c>
      <c r="L90" s="129">
        <v>306496.2</v>
      </c>
      <c r="M90" s="32">
        <f t="shared" si="4"/>
        <v>44801</v>
      </c>
      <c r="N90" s="17">
        <v>0</v>
      </c>
      <c r="O90" s="127">
        <v>0</v>
      </c>
      <c r="P90" s="127">
        <v>0</v>
      </c>
      <c r="Q90" s="17" t="s">
        <v>49</v>
      </c>
      <c r="R90" s="127">
        <v>0</v>
      </c>
      <c r="S90" s="127"/>
      <c r="T90" s="16">
        <f t="shared" si="5"/>
        <v>0</v>
      </c>
      <c r="U90" s="127">
        <v>0</v>
      </c>
      <c r="V90" s="128" t="s">
        <v>288</v>
      </c>
      <c r="W90" s="119"/>
      <c r="AI90" s="119"/>
    </row>
  </sheetData>
  <sheetProtection selectLockedCells="1" selectUnlockedCells="1"/>
  <mergeCells count="21">
    <mergeCell ref="A6:A7"/>
    <mergeCell ref="J5:O5"/>
    <mergeCell ref="I6:M6"/>
    <mergeCell ref="C6:F6"/>
    <mergeCell ref="A5:C5"/>
    <mergeCell ref="F4:H4"/>
    <mergeCell ref="A1:V1"/>
    <mergeCell ref="A2:F2"/>
    <mergeCell ref="G2:V2"/>
    <mergeCell ref="A3:F3"/>
    <mergeCell ref="G3:V3"/>
    <mergeCell ref="B6:B7"/>
    <mergeCell ref="N6:O6"/>
    <mergeCell ref="Q4:V4"/>
    <mergeCell ref="P6:P7"/>
    <mergeCell ref="J4:O4"/>
    <mergeCell ref="V6:V7"/>
    <mergeCell ref="G6:H6"/>
    <mergeCell ref="Q6:U6"/>
    <mergeCell ref="Q5:V5"/>
    <mergeCell ref="F5:H5"/>
  </mergeCells>
  <printOptions/>
  <pageMargins left="0.2755905511811024" right="0.1968503937007874" top="0.4330708661417323" bottom="0.4330708661417323" header="0.1968503937007874" footer="0.1968503937007874"/>
  <pageSetup fitToHeight="100" fitToWidth="2" horizontalDpi="300" verticalDpi="300" orientation="landscape" paperSize="8" scale="47" r:id="rId1"/>
  <headerFooter alignWithMargins="0">
    <oddHeader>&amp;C&amp;"Arial,Normal"&amp;10</oddHeader>
    <oddFooter>&amp;C&amp;"Arial,Normal"&amp;10Página &amp;P</oddFooter>
  </headerFooter>
</worksheet>
</file>

<file path=xl/worksheets/sheet2.xml><?xml version="1.0" encoding="utf-8"?>
<worksheet xmlns="http://schemas.openxmlformats.org/spreadsheetml/2006/main" xmlns:r="http://schemas.openxmlformats.org/officeDocument/2006/relationships">
  <dimension ref="A1:CV111"/>
  <sheetViews>
    <sheetView view="pageBreakPreview" zoomScaleSheetLayoutView="100" zoomScalePageLayoutView="0" workbookViewId="0" topLeftCell="L51">
      <selection activeCell="S52" sqref="S52"/>
    </sheetView>
  </sheetViews>
  <sheetFormatPr defaultColWidth="9.140625" defaultRowHeight="15"/>
  <cols>
    <col min="1" max="1" width="17.00390625" style="9" customWidth="1"/>
    <col min="2" max="2" width="32.00390625" style="9" bestFit="1" customWidth="1"/>
    <col min="3" max="3" width="9.140625" style="13" customWidth="1"/>
    <col min="4" max="4" width="9.57421875" style="13" customWidth="1"/>
    <col min="5" max="5" width="13.8515625" style="112" bestFit="1" customWidth="1"/>
    <col min="6" max="6" width="9.140625" style="112" customWidth="1"/>
    <col min="7" max="7" width="13.57421875" style="9" customWidth="1"/>
    <col min="8" max="8" width="20.8515625" style="22" customWidth="1"/>
    <col min="9" max="9" width="8.421875" style="11" customWidth="1"/>
    <col min="10" max="10" width="9.57421875" style="31" customWidth="1"/>
    <col min="11" max="11" width="7.421875" style="11" customWidth="1"/>
    <col min="12" max="12" width="14.140625" style="25" customWidth="1"/>
    <col min="13" max="13" width="10.7109375" style="31" customWidth="1"/>
    <col min="14" max="14" width="7.28125" style="11" customWidth="1"/>
    <col min="15" max="15" width="13.140625" style="25" customWidth="1"/>
    <col min="16" max="16" width="11.140625" style="25" customWidth="1"/>
    <col min="17" max="17" width="10.8515625" style="13" customWidth="1"/>
    <col min="18" max="18" width="14.7109375" style="170" bestFit="1" customWidth="1"/>
    <col min="19" max="20" width="15.421875" style="10" bestFit="1" customWidth="1"/>
    <col min="21" max="21" width="15.140625" style="10" customWidth="1"/>
    <col min="22" max="22" width="7.421875" style="11" bestFit="1" customWidth="1"/>
    <col min="23" max="16384" width="9.140625" style="9" customWidth="1"/>
  </cols>
  <sheetData>
    <row r="1" spans="1:22" s="27" customFormat="1" ht="10.5">
      <c r="A1" s="210" t="s">
        <v>0</v>
      </c>
      <c r="B1" s="210"/>
      <c r="C1" s="210"/>
      <c r="D1" s="210"/>
      <c r="E1" s="210"/>
      <c r="F1" s="210"/>
      <c r="G1" s="210"/>
      <c r="H1" s="210"/>
      <c r="I1" s="210"/>
      <c r="J1" s="210"/>
      <c r="K1" s="210"/>
      <c r="L1" s="210"/>
      <c r="M1" s="210"/>
      <c r="N1" s="210"/>
      <c r="O1" s="210"/>
      <c r="P1" s="210"/>
      <c r="Q1" s="210"/>
      <c r="R1" s="210"/>
      <c r="S1" s="210"/>
      <c r="T1" s="210"/>
      <c r="U1" s="210"/>
      <c r="V1" s="209"/>
    </row>
    <row r="2" spans="1:22" s="27" customFormat="1" ht="10.5">
      <c r="A2" s="221" t="s">
        <v>113</v>
      </c>
      <c r="B2" s="221"/>
      <c r="C2" s="221"/>
      <c r="D2" s="221"/>
      <c r="E2" s="221"/>
      <c r="F2" s="221"/>
      <c r="G2" s="222"/>
      <c r="H2" s="222"/>
      <c r="I2" s="222"/>
      <c r="J2" s="222"/>
      <c r="K2" s="222"/>
      <c r="L2" s="222"/>
      <c r="M2" s="222"/>
      <c r="N2" s="222"/>
      <c r="O2" s="222"/>
      <c r="P2" s="222"/>
      <c r="Q2" s="222"/>
      <c r="R2" s="222"/>
      <c r="S2" s="222"/>
      <c r="T2" s="222"/>
      <c r="U2" s="222"/>
      <c r="V2" s="222"/>
    </row>
    <row r="3" spans="1:22" s="27" customFormat="1" ht="10.5">
      <c r="A3" s="210" t="s">
        <v>84</v>
      </c>
      <c r="B3" s="210"/>
      <c r="C3" s="210"/>
      <c r="D3" s="210"/>
      <c r="E3" s="210"/>
      <c r="F3" s="210"/>
      <c r="G3" s="222"/>
      <c r="H3" s="222"/>
      <c r="I3" s="222"/>
      <c r="J3" s="222"/>
      <c r="K3" s="222"/>
      <c r="L3" s="222"/>
      <c r="M3" s="222"/>
      <c r="N3" s="222"/>
      <c r="O3" s="222"/>
      <c r="P3" s="222"/>
      <c r="Q3" s="222"/>
      <c r="R3" s="222"/>
      <c r="S3" s="222"/>
      <c r="T3" s="222"/>
      <c r="U3" s="222"/>
      <c r="V3" s="222"/>
    </row>
    <row r="4" spans="1:22" s="27" customFormat="1" ht="10.5">
      <c r="A4" s="155" t="s">
        <v>273</v>
      </c>
      <c r="B4" s="159"/>
      <c r="C4" s="28"/>
      <c r="D4" s="28"/>
      <c r="E4" s="58"/>
      <c r="F4" s="209"/>
      <c r="G4" s="209"/>
      <c r="H4" s="209"/>
      <c r="I4" s="30"/>
      <c r="J4" s="216"/>
      <c r="K4" s="216"/>
      <c r="L4" s="216"/>
      <c r="M4" s="216"/>
      <c r="N4" s="216"/>
      <c r="O4" s="216"/>
      <c r="P4" s="25"/>
      <c r="Q4" s="204" t="s">
        <v>112</v>
      </c>
      <c r="R4" s="204"/>
      <c r="S4" s="204"/>
      <c r="T4" s="204"/>
      <c r="U4" s="204"/>
      <c r="V4" s="204"/>
    </row>
    <row r="5" spans="1:22" s="36" customFormat="1" ht="10.5">
      <c r="A5" s="213" t="s">
        <v>190</v>
      </c>
      <c r="B5" s="213"/>
      <c r="C5" s="213"/>
      <c r="D5" s="158"/>
      <c r="E5" s="220"/>
      <c r="F5" s="220"/>
      <c r="G5" s="220"/>
      <c r="H5" s="220"/>
      <c r="I5" s="215"/>
      <c r="J5" s="215"/>
      <c r="K5" s="215"/>
      <c r="L5" s="215"/>
      <c r="M5" s="215"/>
      <c r="N5" s="215"/>
      <c r="O5" s="215"/>
      <c r="P5" s="215"/>
      <c r="Q5" s="219" t="s">
        <v>2</v>
      </c>
      <c r="R5" s="219"/>
      <c r="S5" s="219"/>
      <c r="T5" s="219"/>
      <c r="U5" s="219"/>
      <c r="V5" s="219"/>
    </row>
    <row r="6" spans="1:22" ht="10.5">
      <c r="A6" s="214" t="s">
        <v>4</v>
      </c>
      <c r="B6" s="214" t="s">
        <v>5</v>
      </c>
      <c r="C6" s="214" t="s">
        <v>6</v>
      </c>
      <c r="D6" s="214"/>
      <c r="E6" s="214"/>
      <c r="F6" s="214"/>
      <c r="G6" s="214" t="s">
        <v>7</v>
      </c>
      <c r="H6" s="214"/>
      <c r="I6" s="217" t="s">
        <v>8</v>
      </c>
      <c r="J6" s="217"/>
      <c r="K6" s="217"/>
      <c r="L6" s="217"/>
      <c r="M6" s="217"/>
      <c r="N6" s="217" t="s">
        <v>9</v>
      </c>
      <c r="O6" s="217"/>
      <c r="P6" s="218" t="s">
        <v>10</v>
      </c>
      <c r="Q6" s="214" t="s">
        <v>11</v>
      </c>
      <c r="R6" s="214"/>
      <c r="S6" s="214"/>
      <c r="T6" s="214"/>
      <c r="U6" s="214"/>
      <c r="V6" s="217" t="s">
        <v>12</v>
      </c>
    </row>
    <row r="7" spans="1:22" s="13" customFormat="1" ht="42.75">
      <c r="A7" s="214"/>
      <c r="B7" s="214"/>
      <c r="C7" s="156" t="s">
        <v>13</v>
      </c>
      <c r="D7" s="156" t="s">
        <v>14</v>
      </c>
      <c r="E7" s="161" t="s">
        <v>15</v>
      </c>
      <c r="F7" s="161" t="s">
        <v>16</v>
      </c>
      <c r="G7" s="156" t="s">
        <v>17</v>
      </c>
      <c r="H7" s="156" t="s">
        <v>18</v>
      </c>
      <c r="I7" s="157" t="s">
        <v>13</v>
      </c>
      <c r="J7" s="32" t="s">
        <v>19</v>
      </c>
      <c r="K7" s="157" t="s">
        <v>20</v>
      </c>
      <c r="L7" s="162" t="s">
        <v>21</v>
      </c>
      <c r="M7" s="32" t="s">
        <v>22</v>
      </c>
      <c r="N7" s="157" t="s">
        <v>23</v>
      </c>
      <c r="O7" s="162" t="s">
        <v>24</v>
      </c>
      <c r="P7" s="218"/>
      <c r="Q7" s="156" t="s">
        <v>25</v>
      </c>
      <c r="R7" s="162" t="s">
        <v>26</v>
      </c>
      <c r="S7" s="163" t="s">
        <v>27</v>
      </c>
      <c r="T7" s="163" t="s">
        <v>28</v>
      </c>
      <c r="U7" s="163" t="s">
        <v>29</v>
      </c>
      <c r="V7" s="217"/>
    </row>
    <row r="8" spans="1:22" ht="21">
      <c r="A8" s="14" t="str">
        <f>'1º TRIMESTRE'!A8</f>
        <v>PREGÃO  / Nº 14/2016</v>
      </c>
      <c r="B8" s="14" t="str">
        <f>'1º TRIMESTRE'!B8</f>
        <v>SERVIÇOS DE LIMPEZA URBANA – DESTINAÇÃO FINAL DOS RESÍDUOS SÓLIDOS </v>
      </c>
      <c r="C8" s="14">
        <f>'1º TRIMESTRE'!C8</f>
        <v>0</v>
      </c>
      <c r="D8" s="14">
        <f>'1º TRIMESTRE'!D8</f>
        <v>0</v>
      </c>
      <c r="E8" s="57">
        <f>'1º TRIMESTRE'!E8</f>
        <v>0</v>
      </c>
      <c r="F8" s="57">
        <f>'1º TRIMESTRE'!F8</f>
        <v>0</v>
      </c>
      <c r="G8" s="14" t="str">
        <f>'1º TRIMESTRE'!G8</f>
        <v>08.165.091/0002-08</v>
      </c>
      <c r="H8" s="14" t="str">
        <f>'1º TRIMESTRE'!H8</f>
        <v>ECOPESA AMBIENTAL S/A                   </v>
      </c>
      <c r="I8" s="15" t="str">
        <f>'1º TRIMESTRE'!I8</f>
        <v>6-022/16</v>
      </c>
      <c r="J8" s="160">
        <f>'1º TRIMESTRE'!J8</f>
        <v>42769</v>
      </c>
      <c r="K8" s="15">
        <f>'1º TRIMESTRE'!K8</f>
        <v>365</v>
      </c>
      <c r="L8" s="16">
        <f>'1º TRIMESTRE'!L8</f>
        <v>38286283.02</v>
      </c>
      <c r="M8" s="160">
        <f>'1º TRIMESTRE'!M8</f>
        <v>44776</v>
      </c>
      <c r="N8" s="15">
        <f>'1º TRIMESTRE'!N8</f>
        <v>1642</v>
      </c>
      <c r="O8" s="16">
        <f>'1º TRIMESTRE'!O8</f>
        <v>190010186.01999998</v>
      </c>
      <c r="P8" s="171">
        <f>'1º TRIMESTRE'!P8</f>
        <v>8446263.3</v>
      </c>
      <c r="Q8" s="15" t="str">
        <f>'1º TRIMESTRE'!Q8</f>
        <v>3.3.90.39</v>
      </c>
      <c r="R8" s="16">
        <f>'1º TRIMESTRE'!R8+9857711.31</f>
        <v>173922490.57</v>
      </c>
      <c r="S8" s="16">
        <v>7063762.42</v>
      </c>
      <c r="T8" s="16">
        <f>'1º TRIMESTRE'!T8+S8</f>
        <v>15696902.59</v>
      </c>
      <c r="U8" s="16">
        <f>'1º TRIMESTRE'!U8+S8</f>
        <v>170961223.04</v>
      </c>
      <c r="V8" s="16" t="str">
        <f>'1º TRIMESTRE'!V8</f>
        <v>andamento</v>
      </c>
    </row>
    <row r="9" spans="1:22" ht="31.5">
      <c r="A9" s="14" t="str">
        <f>'1º TRIMESTRE'!A9</f>
        <v>CONCORRÊNCIA 03/2016</v>
      </c>
      <c r="B9" s="14" t="str">
        <f>'1º TRIMESTRE'!B9</f>
        <v>SERVIÇOS DE APOIO TÉCNICO AO MKONITORAMENTO DAS AÇÕES DE MANUTENÇÃO DO SISTEMA VIÁRIO DA CIDADE DO RECIFE, </v>
      </c>
      <c r="C9" s="14">
        <f>'1º TRIMESTRE'!C9</f>
        <v>0</v>
      </c>
      <c r="D9" s="14">
        <f>'1º TRIMESTRE'!D9</f>
        <v>0</v>
      </c>
      <c r="E9" s="57">
        <f>'1º TRIMESTRE'!E9</f>
        <v>0</v>
      </c>
      <c r="F9" s="57">
        <f>'1º TRIMESTRE'!F9</f>
        <v>0</v>
      </c>
      <c r="G9" s="14" t="str">
        <f>'1º TRIMESTRE'!G9</f>
        <v>41.075.755/0001-32 </v>
      </c>
      <c r="H9" s="14" t="str">
        <f>'1º TRIMESTRE'!H9</f>
        <v>NORCONSULT PROJETOS E CONSULTORIA LTDA</v>
      </c>
      <c r="I9" s="15" t="str">
        <f>'1º TRIMESTRE'!I9</f>
        <v>6-023/16</v>
      </c>
      <c r="J9" s="160">
        <f>'1º TRIMESTRE'!J9</f>
        <v>42772</v>
      </c>
      <c r="K9" s="15">
        <f>'1º TRIMESTRE'!K9</f>
        <v>365</v>
      </c>
      <c r="L9" s="16">
        <f>'1º TRIMESTRE'!L9</f>
        <v>1777584.96</v>
      </c>
      <c r="M9" s="160">
        <f>'1º TRIMESTRE'!M9</f>
        <v>44597</v>
      </c>
      <c r="N9" s="15">
        <f>'1º TRIMESTRE'!N9</f>
        <v>1460</v>
      </c>
      <c r="O9" s="16">
        <f>'1º TRIMESTRE'!O9</f>
        <v>8848759.44</v>
      </c>
      <c r="P9" s="171">
        <f>'1º TRIMESTRE'!P9</f>
        <v>88092.12</v>
      </c>
      <c r="Q9" s="15" t="str">
        <f>'1º TRIMESTRE'!Q9</f>
        <v>3.3.90.39</v>
      </c>
      <c r="R9" s="16">
        <f>'1º TRIMESTRE'!R9</f>
        <v>6723678.390000001</v>
      </c>
      <c r="S9" s="16">
        <v>91790.48000000001</v>
      </c>
      <c r="T9" s="16">
        <f>'1º TRIMESTRE'!T9+S9</f>
        <v>123781.23000000001</v>
      </c>
      <c r="U9" s="16">
        <f>'1º TRIMESTRE'!U9+S9</f>
        <v>6723678.389999999</v>
      </c>
      <c r="V9" s="16" t="str">
        <f>'1º TRIMESTRE'!V9</f>
        <v>encerrado</v>
      </c>
    </row>
    <row r="10" spans="1:22" ht="21">
      <c r="A10" s="14" t="str">
        <f>'1º TRIMESTRE'!A10</f>
        <v>PREGÃO  / Nº 14/2016</v>
      </c>
      <c r="B10" s="14" t="str">
        <f>'1º TRIMESTRE'!B10</f>
        <v>SERVIÇOS DE LIMPEZA URBANA – DESTINAÇÃO FINAL DOS RESÍDUOS SÓLIDOS </v>
      </c>
      <c r="C10" s="14">
        <f>'1º TRIMESTRE'!C10</f>
        <v>0</v>
      </c>
      <c r="D10" s="14">
        <f>'1º TRIMESTRE'!D10</f>
        <v>0</v>
      </c>
      <c r="E10" s="57">
        <f>'1º TRIMESTRE'!E10</f>
        <v>0</v>
      </c>
      <c r="F10" s="57">
        <f>'1º TRIMESTRE'!F10</f>
        <v>0</v>
      </c>
      <c r="G10" s="14" t="str">
        <f>'1º TRIMESTRE'!G10</f>
        <v>08.165.091/0002-08</v>
      </c>
      <c r="H10" s="14" t="str">
        <f>'1º TRIMESTRE'!H10</f>
        <v>ECOPESA AMBIENTAL S/A                   </v>
      </c>
      <c r="I10" s="15" t="str">
        <f>'1º TRIMESTRE'!I10</f>
        <v>6-024/16</v>
      </c>
      <c r="J10" s="160">
        <f>'1º TRIMESTRE'!J10</f>
        <v>42769</v>
      </c>
      <c r="K10" s="15">
        <f>'1º TRIMESTRE'!K10</f>
        <v>365</v>
      </c>
      <c r="L10" s="16">
        <f>'1º TRIMESTRE'!L10</f>
        <v>8888698.49</v>
      </c>
      <c r="M10" s="160">
        <f>'1º TRIMESTRE'!M10</f>
        <v>44776</v>
      </c>
      <c r="N10" s="15">
        <f>'1º TRIMESTRE'!N10</f>
        <v>1642</v>
      </c>
      <c r="O10" s="16">
        <f>'1º TRIMESTRE'!O10</f>
        <v>43850158.57</v>
      </c>
      <c r="P10" s="171">
        <f>'1º TRIMESTRE'!P10+1038059.84</f>
        <v>2479017.23</v>
      </c>
      <c r="Q10" s="15" t="str">
        <f>'1º TRIMESTRE'!Q10</f>
        <v>3.3.90.39</v>
      </c>
      <c r="R10" s="16">
        <f>'1º TRIMESTRE'!R10+2387992.96</f>
        <v>41146637.50000001</v>
      </c>
      <c r="S10" s="16">
        <v>1710270.3199999998</v>
      </c>
      <c r="T10" s="16">
        <f>'1º TRIMESTRE'!T10+S10</f>
        <v>3952929.9099999997</v>
      </c>
      <c r="U10" s="16">
        <f>'1º TRIMESTRE'!U10+S10</f>
        <v>40468988.14000001</v>
      </c>
      <c r="V10" s="16" t="str">
        <f>'1º TRIMESTRE'!V10</f>
        <v>andamento</v>
      </c>
    </row>
    <row r="11" spans="1:22" ht="21">
      <c r="A11" s="14" t="str">
        <f>'1º TRIMESTRE'!A11</f>
        <v>PREGÃO PRESENCIAL/ Nº 014/2016</v>
      </c>
      <c r="B11" s="14" t="str">
        <f>'1º TRIMESTRE'!B11</f>
        <v>SERVIÇO DE LIMPEZA URBANA - DESTINAÇÃO FINAL DOS RESÍDUOS SÓLIDOS</v>
      </c>
      <c r="C11" s="14">
        <f>'1º TRIMESTRE'!C11</f>
        <v>0</v>
      </c>
      <c r="D11" s="14">
        <f>'1º TRIMESTRE'!D11</f>
        <v>0</v>
      </c>
      <c r="E11" s="57">
        <f>'1º TRIMESTRE'!E11</f>
        <v>0</v>
      </c>
      <c r="F11" s="57">
        <f>'1º TRIMESTRE'!F11</f>
        <v>0</v>
      </c>
      <c r="G11" s="14" t="str">
        <f>'1º TRIMESTRE'!G11</f>
        <v>41.116.138/0001-38</v>
      </c>
      <c r="H11" s="14" t="str">
        <f>'1º TRIMESTRE'!H11</f>
        <v>CICLO AMBIENTAL LTDA</v>
      </c>
      <c r="I11" s="15" t="str">
        <f>'1º TRIMESTRE'!I11</f>
        <v>6-025/16</v>
      </c>
      <c r="J11" s="160">
        <f>'1º TRIMESTRE'!J11</f>
        <v>42814</v>
      </c>
      <c r="K11" s="15">
        <f>'1º TRIMESTRE'!K11</f>
        <v>365</v>
      </c>
      <c r="L11" s="16">
        <f>'1º TRIMESTRE'!L11</f>
        <v>3423770.88</v>
      </c>
      <c r="M11" s="160">
        <f>'1º TRIMESTRE'!M11</f>
        <v>44959</v>
      </c>
      <c r="N11" s="15">
        <f>'1º TRIMESTRE'!N11</f>
        <v>1780</v>
      </c>
      <c r="O11" s="16">
        <f>'1º TRIMESTRE'!O11</f>
        <v>23484577.2</v>
      </c>
      <c r="P11" s="171">
        <f>'1º TRIMESTRE'!P11</f>
        <v>559078.56</v>
      </c>
      <c r="Q11" s="15" t="str">
        <f>'1º TRIMESTRE'!Q11</f>
        <v>3.3.90.39</v>
      </c>
      <c r="R11" s="16">
        <f>'1º TRIMESTRE'!R11+296473.19</f>
        <v>21047005.59</v>
      </c>
      <c r="S11" s="16">
        <v>296473.19</v>
      </c>
      <c r="T11" s="16">
        <f>'1º TRIMESTRE'!T11+S11</f>
        <v>885906.21</v>
      </c>
      <c r="U11" s="16">
        <f>'1º TRIMESTRE'!U11+S11</f>
        <v>21047005.59</v>
      </c>
      <c r="V11" s="16" t="str">
        <f>'1º TRIMESTRE'!V11</f>
        <v>andamento</v>
      </c>
    </row>
    <row r="12" spans="1:22" ht="31.5">
      <c r="A12" s="14" t="str">
        <f>'1º TRIMESTRE'!A12</f>
        <v>TOMADA DE PREÇOS /nº 07/2016</v>
      </c>
      <c r="B12" s="14" t="str">
        <f>'1º TRIMESTRE'!B12</f>
        <v>SEVIÇOS CONTÍNUOS DE MANUTENÇÃO CORRETIVA E PREVENTIVA E EXPANSÃO DA ILUMINAÇÃO ESPECIAL NA CIDADE DO RECIFE</v>
      </c>
      <c r="C12" s="14">
        <f>'1º TRIMESTRE'!C12</f>
        <v>0</v>
      </c>
      <c r="D12" s="14">
        <f>'1º TRIMESTRE'!D12</f>
        <v>0</v>
      </c>
      <c r="E12" s="57">
        <f>'1º TRIMESTRE'!E12</f>
        <v>0</v>
      </c>
      <c r="F12" s="57">
        <f>'1º TRIMESTRE'!F12</f>
        <v>0</v>
      </c>
      <c r="G12" s="14" t="str">
        <f>'1º TRIMESTRE'!G12</f>
        <v>41.116.138/0001-38</v>
      </c>
      <c r="H12" s="14" t="str">
        <f>'1º TRIMESTRE'!H12</f>
        <v>REAL ENERGY LTDA                                            </v>
      </c>
      <c r="I12" s="15" t="str">
        <f>'1º TRIMESTRE'!I12</f>
        <v>6-002/17</v>
      </c>
      <c r="J12" s="160">
        <f>'1º TRIMESTRE'!J12</f>
        <v>42795</v>
      </c>
      <c r="K12" s="15">
        <f>'1º TRIMESTRE'!K12</f>
        <v>365</v>
      </c>
      <c r="L12" s="16">
        <f>'1º TRIMESTRE'!L12</f>
        <v>1223866.8</v>
      </c>
      <c r="M12" s="160">
        <f>'1º TRIMESTRE'!M12</f>
        <v>44620</v>
      </c>
      <c r="N12" s="15">
        <f>'1º TRIMESTRE'!N12</f>
        <v>1460</v>
      </c>
      <c r="O12" s="16">
        <f>'1º TRIMESTRE'!O12</f>
        <v>4923839.5200000005</v>
      </c>
      <c r="P12" s="171">
        <f>'1º TRIMESTRE'!P12</f>
        <v>81998.64</v>
      </c>
      <c r="Q12" s="15" t="str">
        <f>'1º TRIMESTRE'!Q12</f>
        <v>3.3.90.39</v>
      </c>
      <c r="R12" s="16">
        <f>'1º TRIMESTRE'!R12</f>
        <v>6138666.41</v>
      </c>
      <c r="S12" s="16">
        <v>0</v>
      </c>
      <c r="T12" s="16">
        <f>'1º TRIMESTRE'!T12+S12</f>
        <v>219564.08</v>
      </c>
      <c r="U12" s="16">
        <f>'1º TRIMESTRE'!U12+S12</f>
        <v>6138666.410000001</v>
      </c>
      <c r="V12" s="16" t="s">
        <v>188</v>
      </c>
    </row>
    <row r="13" spans="1:22" ht="42.75">
      <c r="A13" s="14" t="str">
        <f>'1º TRIMESTRE'!A13</f>
        <v> PREGÃO PRESENCIAL Licitação: 4/2017</v>
      </c>
      <c r="B13" s="14" t="str">
        <f>'1º TRIMESTRE'!B13</f>
        <v>SERVIÇOS ESPECIALIZADOS DE ENGENHARIA AGRONÔMICA COM SERVIÇOS DE MANUTENÇÃO DE ARBORETO, PARQUES, PRAÇAS E DEMAIS ÁREAS VERDES</v>
      </c>
      <c r="C13" s="14">
        <f>'1º TRIMESTRE'!C13</f>
        <v>0</v>
      </c>
      <c r="D13" s="14">
        <f>'1º TRIMESTRE'!D13</f>
        <v>0</v>
      </c>
      <c r="E13" s="57">
        <f>'1º TRIMESTRE'!E13</f>
        <v>0</v>
      </c>
      <c r="F13" s="57">
        <f>'1º TRIMESTRE'!F13</f>
        <v>0</v>
      </c>
      <c r="G13" s="14" t="str">
        <f>'1º TRIMESTRE'!G13</f>
        <v>00.449.936/0001-02</v>
      </c>
      <c r="H13" s="14" t="str">
        <f>'1º TRIMESTRE'!H13</f>
        <v>ENGEMAIA E CIA LTDA</v>
      </c>
      <c r="I13" s="15" t="str">
        <f>'1º TRIMESTRE'!I13</f>
        <v>6-013/17</v>
      </c>
      <c r="J13" s="160">
        <f>'1º TRIMESTRE'!J13</f>
        <v>42940</v>
      </c>
      <c r="K13" s="15">
        <f>'1º TRIMESTRE'!K13</f>
        <v>365</v>
      </c>
      <c r="L13" s="16">
        <f>'1º TRIMESTRE'!L13</f>
        <v>11944999.92</v>
      </c>
      <c r="M13" s="160">
        <f>'1º TRIMESTRE'!M13</f>
        <v>44765</v>
      </c>
      <c r="N13" s="15">
        <f>'1º TRIMESTRE'!N13</f>
        <v>1460</v>
      </c>
      <c r="O13" s="16">
        <f>'1º TRIMESTRE'!O13</f>
        <v>60684020.43</v>
      </c>
      <c r="P13" s="171">
        <f>'1º TRIMESTRE'!P13</f>
        <v>1492079.88</v>
      </c>
      <c r="Q13" s="15" t="str">
        <f>'1º TRIMESTRE'!Q13</f>
        <v>3.3.90.39</v>
      </c>
      <c r="R13" s="16">
        <f>'1º TRIMESTRE'!R13+3720084.97</f>
        <v>47074444.919999994</v>
      </c>
      <c r="S13" s="16">
        <v>4969481.74</v>
      </c>
      <c r="T13" s="16">
        <f>'1º TRIMESTRE'!T13+S13</f>
        <v>6219026.84</v>
      </c>
      <c r="U13" s="16">
        <f>'1º TRIMESTRE'!U13+S13</f>
        <v>47074444.92000001</v>
      </c>
      <c r="V13" s="16" t="str">
        <f>'1º TRIMESTRE'!V13</f>
        <v>andamento</v>
      </c>
    </row>
    <row r="14" spans="1:22" ht="31.5">
      <c r="A14" s="14" t="str">
        <f>'1º TRIMESTRE'!A14</f>
        <v>CONCORRÊNCIA Licitação: 10/2018</v>
      </c>
      <c r="B14" s="14" t="str">
        <f>'1º TRIMESTRE'!B14</f>
        <v>SERVIÇOS DE MANUTENÇÃO PREVENTIVA DO SISTEMA DE MACRODRENAGEM EM TODAS AS RPA'S DA CIDADE DO RECIFE - RPA 01 E 06</v>
      </c>
      <c r="C14" s="14" t="str">
        <f>'1º TRIMESTRE'!C14</f>
        <v>495721/2018 e 535346/2020</v>
      </c>
      <c r="D14" s="14" t="str">
        <f>'1º TRIMESTRE'!D14</f>
        <v>FINISA</v>
      </c>
      <c r="E14" s="57">
        <f>'1º TRIMESTRE'!E14</f>
        <v>184899815.11999997</v>
      </c>
      <c r="F14" s="57">
        <f>'1º TRIMESTRE'!F14</f>
        <v>0</v>
      </c>
      <c r="G14" s="14" t="str">
        <f>'1º TRIMESTRE'!G14</f>
        <v>01.514.128/0001-36</v>
      </c>
      <c r="H14" s="14" t="str">
        <f>'1º TRIMESTRE'!H14</f>
        <v>SCAVE SERVICOS DE ENGENHARIA E LOCACAO LTDA</v>
      </c>
      <c r="I14" s="15" t="str">
        <f>'1º TRIMESTRE'!I14</f>
        <v>6-017/19</v>
      </c>
      <c r="J14" s="160">
        <f>'1º TRIMESTRE'!J14</f>
        <v>43571</v>
      </c>
      <c r="K14" s="15">
        <f>'1º TRIMESTRE'!K14</f>
        <v>1125</v>
      </c>
      <c r="L14" s="16">
        <f>'1º TRIMESTRE'!L14</f>
        <v>10309281.7</v>
      </c>
      <c r="M14" s="160">
        <f>'1º TRIMESTRE'!M14</f>
        <v>44696</v>
      </c>
      <c r="N14" s="15">
        <f>'1º TRIMESTRE'!N14</f>
        <v>0</v>
      </c>
      <c r="O14" s="16">
        <f>'1º TRIMESTRE'!O14</f>
        <v>0</v>
      </c>
      <c r="P14" s="171">
        <f>'1º TRIMESTRE'!P14</f>
        <v>2800566.42</v>
      </c>
      <c r="Q14" s="15" t="str">
        <f>'1º TRIMESTRE'!Q14</f>
        <v>4.4.90.39</v>
      </c>
      <c r="R14" s="16">
        <f>'1º TRIMESTRE'!R14+870621.6</f>
        <v>6258452.369999999</v>
      </c>
      <c r="S14" s="16">
        <v>1360027.33</v>
      </c>
      <c r="T14" s="16">
        <f>'1º TRIMESTRE'!T14+S14</f>
        <v>1784003.31</v>
      </c>
      <c r="U14" s="16">
        <f>'1º TRIMESTRE'!U14+S14</f>
        <v>6258452.370000001</v>
      </c>
      <c r="V14" s="16" t="s">
        <v>188</v>
      </c>
    </row>
    <row r="15" spans="1:22" ht="31.5">
      <c r="A15" s="14" t="str">
        <f>'1º TRIMESTRE'!A15</f>
        <v>CONCORRÊNCIA Licitação: 10/2018</v>
      </c>
      <c r="B15" s="14" t="str">
        <f>'1º TRIMESTRE'!B15</f>
        <v>SERVIÇOS DE MANUTENÇÃO PREVENTIVA DO SISTEMA DE MACRODRENAGEM EM TODAS AS RPA'S DA CIDADE DO RECIFE - RPA 02 e 03</v>
      </c>
      <c r="C15" s="14" t="str">
        <f>'1º TRIMESTRE'!C15</f>
        <v>495721/2018 e 535346/2020</v>
      </c>
      <c r="D15" s="14" t="str">
        <f>'1º TRIMESTRE'!D15</f>
        <v>FINISA</v>
      </c>
      <c r="E15" s="57">
        <f>'1º TRIMESTRE'!E15</f>
        <v>184899815.11999997</v>
      </c>
      <c r="F15" s="57">
        <f>'1º TRIMESTRE'!F15</f>
        <v>0</v>
      </c>
      <c r="G15" s="14" t="str">
        <f>'1º TRIMESTRE'!G15</f>
        <v>01.514.128/0001-36</v>
      </c>
      <c r="H15" s="14" t="str">
        <f>'1º TRIMESTRE'!H15</f>
        <v>SCAVE SERVICOS DE ENGENHARIA E LOCACAO LTDA</v>
      </c>
      <c r="I15" s="15" t="str">
        <f>'1º TRIMESTRE'!I15</f>
        <v>6-018/19</v>
      </c>
      <c r="J15" s="160">
        <f>'1º TRIMESTRE'!J15</f>
        <v>43571</v>
      </c>
      <c r="K15" s="15">
        <f>'1º TRIMESTRE'!K15</f>
        <v>1125</v>
      </c>
      <c r="L15" s="16">
        <f>'1º TRIMESTRE'!L15</f>
        <v>11446659.06</v>
      </c>
      <c r="M15" s="160">
        <f>'1º TRIMESTRE'!M15</f>
        <v>44696</v>
      </c>
      <c r="N15" s="15">
        <f>'1º TRIMESTRE'!N15</f>
        <v>0</v>
      </c>
      <c r="O15" s="16">
        <f>'1º TRIMESTRE'!O15</f>
        <v>5430.8</v>
      </c>
      <c r="P15" s="171">
        <f>'1º TRIMESTRE'!P15</f>
        <v>1849376.19</v>
      </c>
      <c r="Q15" s="15" t="str">
        <f>'1º TRIMESTRE'!Q15</f>
        <v>4.4.90.39</v>
      </c>
      <c r="R15" s="16">
        <f>'1º TRIMESTRE'!R15+993802.14</f>
        <v>6500517.92</v>
      </c>
      <c r="S15" s="16">
        <v>1605796.25</v>
      </c>
      <c r="T15" s="16">
        <f>'1º TRIMESTRE'!T15+S15</f>
        <v>2064335.97</v>
      </c>
      <c r="U15" s="16">
        <f>'1º TRIMESTRE'!U15+S15</f>
        <v>6500517.919999999</v>
      </c>
      <c r="V15" s="16" t="s">
        <v>188</v>
      </c>
    </row>
    <row r="16" spans="1:22" ht="31.5">
      <c r="A16" s="14" t="str">
        <f>'1º TRIMESTRE'!A16</f>
        <v>CONCORRÊNCIA Licitação: 10/2018</v>
      </c>
      <c r="B16" s="14" t="str">
        <f>'1º TRIMESTRE'!B16</f>
        <v>SERVIÇOS DE MANUTENÇÃO PREVENTIVA DO SISTEMA DE MACRODRENAGEM EM TODAS AS RPA'S DA CIDADE DO RECIFE - RPA 04, 05</v>
      </c>
      <c r="C16" s="14" t="str">
        <f>'1º TRIMESTRE'!C16</f>
        <v>495721/2018 e 535346/2020</v>
      </c>
      <c r="D16" s="14" t="str">
        <f>'1º TRIMESTRE'!D16</f>
        <v>FINISA</v>
      </c>
      <c r="E16" s="57">
        <f>'1º TRIMESTRE'!E16</f>
        <v>184899815.11999997</v>
      </c>
      <c r="F16" s="57">
        <f>'1º TRIMESTRE'!F16</f>
        <v>0</v>
      </c>
      <c r="G16" s="14" t="str">
        <f>'1º TRIMESTRE'!G16</f>
        <v>01.514.128/0001-36</v>
      </c>
      <c r="H16" s="14" t="str">
        <f>'1º TRIMESTRE'!H16</f>
        <v>SCAVE SERVICOS DE ENGENHARIA E LOCACAO LTDA</v>
      </c>
      <c r="I16" s="15" t="str">
        <f>'1º TRIMESTRE'!I16</f>
        <v>6-019/19</v>
      </c>
      <c r="J16" s="160">
        <f>'1º TRIMESTRE'!J16</f>
        <v>43571</v>
      </c>
      <c r="K16" s="15">
        <f>'1º TRIMESTRE'!K16</f>
        <v>1125</v>
      </c>
      <c r="L16" s="16">
        <f>'1º TRIMESTRE'!L16</f>
        <v>11869839.78</v>
      </c>
      <c r="M16" s="160">
        <f>'1º TRIMESTRE'!M16</f>
        <v>44696</v>
      </c>
      <c r="N16" s="15">
        <f>'1º TRIMESTRE'!N16</f>
        <v>0</v>
      </c>
      <c r="O16" s="16">
        <f>'1º TRIMESTRE'!O16</f>
        <v>310156</v>
      </c>
      <c r="P16" s="171">
        <f>'1º TRIMESTRE'!P16</f>
        <v>3232749.75</v>
      </c>
      <c r="Q16" s="15" t="str">
        <f>'1º TRIMESTRE'!Q16</f>
        <v>4.4.90.39</v>
      </c>
      <c r="R16" s="16">
        <f>'1º TRIMESTRE'!R16+1772975.77</f>
        <v>9555828.559999999</v>
      </c>
      <c r="S16" s="16">
        <v>2265252.26</v>
      </c>
      <c r="T16" s="16">
        <f>'1º TRIMESTRE'!T16+S16</f>
        <v>2689195.29</v>
      </c>
      <c r="U16" s="16">
        <f>'1º TRIMESTRE'!U16+S16</f>
        <v>9555828.56</v>
      </c>
      <c r="V16" s="16" t="s">
        <v>188</v>
      </c>
    </row>
    <row r="17" spans="1:22" ht="63.75">
      <c r="A17" s="14" t="str">
        <f>'1º TRIMESTRE'!A17</f>
        <v>CONCORRÊNCIA Licitação:    004/2019</v>
      </c>
      <c r="B17" s="14" t="str">
        <f>'1º TRIMESTRE'!B17</f>
        <v>SERVIÇOS COMPLEMENTARES DE LIMPEZA URBANA EM ÁREAS PLANAS E DE TALUDE E SERVIÇOS DE MANUTENÇÃO CONTÍNUA PREVENTIVA E CORRETIVA DA ARBORIZAÇÃO URBANA EM MORROS, INCLUINDO A LOCAÇÃO DE VEÍCULOS E EQUIPAMENTOS.</v>
      </c>
      <c r="C17" s="14">
        <f>'1º TRIMESTRE'!C17</f>
        <v>0</v>
      </c>
      <c r="D17" s="14">
        <f>'1º TRIMESTRE'!D17</f>
        <v>0</v>
      </c>
      <c r="E17" s="57">
        <f>'1º TRIMESTRE'!E17</f>
        <v>0</v>
      </c>
      <c r="F17" s="57">
        <f>'1º TRIMESTRE'!F17</f>
        <v>0</v>
      </c>
      <c r="G17" s="14" t="str">
        <f>'1º TRIMESTRE'!G17</f>
        <v>40.884.405/0001-54</v>
      </c>
      <c r="H17" s="14" t="str">
        <f>'1º TRIMESTRE'!H17</f>
        <v>LOQUIPE LOCACAO DE EQUIPAMENTOS E MAO DE OBRA LTDA</v>
      </c>
      <c r="I17" s="15" t="str">
        <f>'1º TRIMESTRE'!I17</f>
        <v>6-024/19</v>
      </c>
      <c r="J17" s="160">
        <f>'1º TRIMESTRE'!J17</f>
        <v>43633</v>
      </c>
      <c r="K17" s="15">
        <f>'1º TRIMESTRE'!K17</f>
        <v>395</v>
      </c>
      <c r="L17" s="16">
        <f>'1º TRIMESTRE'!L17</f>
        <v>12390281.28</v>
      </c>
      <c r="M17" s="160">
        <f>'1º TRIMESTRE'!M17</f>
        <v>44758</v>
      </c>
      <c r="N17" s="15">
        <f>'1º TRIMESTRE'!N17</f>
        <v>730</v>
      </c>
      <c r="O17" s="16">
        <f>'1º TRIMESTRE'!O17</f>
        <v>28104956.880000003</v>
      </c>
      <c r="P17" s="171">
        <f>'1º TRIMESTRE'!P17</f>
        <v>2473711.68</v>
      </c>
      <c r="Q17" s="15" t="str">
        <f>'1º TRIMESTRE'!Q17</f>
        <v>3.3.90.39</v>
      </c>
      <c r="R17" s="16">
        <f>'1º TRIMESTRE'!R17+2752406.59</f>
        <v>25249844.630000003</v>
      </c>
      <c r="S17" s="16">
        <v>2861151.1599999997</v>
      </c>
      <c r="T17" s="16">
        <f>'1º TRIMESTRE'!T17+S17</f>
        <v>4470553.14</v>
      </c>
      <c r="U17" s="16">
        <f>'1º TRIMESTRE'!U17+S17</f>
        <v>25141100.080000002</v>
      </c>
      <c r="V17" s="16" t="str">
        <f>'1º TRIMESTRE'!V17</f>
        <v>andamento</v>
      </c>
    </row>
    <row r="18" spans="1:22" ht="75">
      <c r="A18" s="14" t="str">
        <f>'1º TRIMESTRE'!A18</f>
        <v>CONCORRÊNCIA / nº 007/2019</v>
      </c>
      <c r="B18" s="14" t="str">
        <f>'1º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14">
        <f>'1º TRIMESTRE'!C18</f>
        <v>0</v>
      </c>
      <c r="D18" s="14">
        <f>'1º TRIMESTRE'!D18</f>
        <v>0</v>
      </c>
      <c r="E18" s="57">
        <f>'1º TRIMESTRE'!E18</f>
        <v>0</v>
      </c>
      <c r="F18" s="57">
        <f>'1º TRIMESTRE'!F18</f>
        <v>0</v>
      </c>
      <c r="G18" s="14" t="str">
        <f>'1º TRIMESTRE'!G18</f>
        <v>41.116.138/0001-38</v>
      </c>
      <c r="H18" s="14" t="str">
        <f>'1º TRIMESTRE'!H18</f>
        <v>REAL ENERGY LTDA</v>
      </c>
      <c r="I18" s="15" t="str">
        <f>'1º TRIMESTRE'!I18</f>
        <v>6-051/19</v>
      </c>
      <c r="J18" s="160">
        <f>'1º TRIMESTRE'!J18</f>
        <v>43769</v>
      </c>
      <c r="K18" s="15">
        <f>'1º TRIMESTRE'!K18</f>
        <v>760</v>
      </c>
      <c r="L18" s="16">
        <f>'1º TRIMESTRE'!L18</f>
        <v>2584195.6</v>
      </c>
      <c r="M18" s="160">
        <f>'1º TRIMESTRE'!M18</f>
        <v>44619</v>
      </c>
      <c r="N18" s="15">
        <f>'1º TRIMESTRE'!N18</f>
        <v>90</v>
      </c>
      <c r="O18" s="16">
        <f>'1º TRIMESTRE'!O18</f>
        <v>327163.7</v>
      </c>
      <c r="P18" s="171">
        <f>'1º TRIMESTRE'!P18</f>
        <v>-44558.22</v>
      </c>
      <c r="Q18" s="15" t="str">
        <f>'1º TRIMESTRE'!Q18</f>
        <v>3.3.90.39</v>
      </c>
      <c r="R18" s="16">
        <f>'1º TRIMESTRE'!R18</f>
        <v>2051214.3</v>
      </c>
      <c r="S18" s="16">
        <v>0</v>
      </c>
      <c r="T18" s="16">
        <f>'1º TRIMESTRE'!T18+S18</f>
        <v>65458.07</v>
      </c>
      <c r="U18" s="16">
        <f>'1º TRIMESTRE'!U18+S18</f>
        <v>2051214.3000000003</v>
      </c>
      <c r="V18" s="16" t="str">
        <f>'1º TRIMESTRE'!V18</f>
        <v>encerrado</v>
      </c>
    </row>
    <row r="19" spans="1:22" ht="31.5">
      <c r="A19" s="14" t="str">
        <f>'1º TRIMESTRE'!A19</f>
        <v>TOMADA DE PREÇOS Licitação: 1/2020</v>
      </c>
      <c r="B19" s="14" t="str">
        <f>'1º TRIMESTRE'!B19</f>
        <v>PRESTAÇÃO DE SERVIÇO DE MANUTENÇÃO E RECUPERAÇÃO AMBIENTAL DO ATERRO CONTROLADO DA MURIBECA</v>
      </c>
      <c r="C19" s="14">
        <f>'1º TRIMESTRE'!C19</f>
        <v>0</v>
      </c>
      <c r="D19" s="14">
        <f>'1º TRIMESTRE'!D19</f>
        <v>0</v>
      </c>
      <c r="E19" s="57">
        <f>'1º TRIMESTRE'!E19</f>
        <v>0</v>
      </c>
      <c r="F19" s="57">
        <f>'1º TRIMESTRE'!F19</f>
        <v>0</v>
      </c>
      <c r="G19" s="14" t="str">
        <f>'1º TRIMESTRE'!G19</f>
        <v>07.693.988/0001-60</v>
      </c>
      <c r="H19" s="14" t="str">
        <f>'1º TRIMESTRE'!H19</f>
        <v>F R F ENGENHARIA LTDA</v>
      </c>
      <c r="I19" s="15" t="str">
        <f>'1º TRIMESTRE'!I19</f>
        <v>6-013/20</v>
      </c>
      <c r="J19" s="160">
        <f>'1º TRIMESTRE'!J19</f>
        <v>44007</v>
      </c>
      <c r="K19" s="15">
        <f>'1º TRIMESTRE'!K19</f>
        <v>760</v>
      </c>
      <c r="L19" s="16">
        <f>'1º TRIMESTRE'!L19</f>
        <v>1152030.38</v>
      </c>
      <c r="M19" s="160">
        <f>'1º TRIMESTRE'!M19</f>
        <v>44767</v>
      </c>
      <c r="N19" s="15">
        <f>'1º TRIMESTRE'!N19</f>
        <v>0</v>
      </c>
      <c r="O19" s="16">
        <f>'1º TRIMESTRE'!O19</f>
        <v>0</v>
      </c>
      <c r="P19" s="171">
        <f>'1º TRIMESTRE'!P19</f>
        <v>0</v>
      </c>
      <c r="Q19" s="15" t="str">
        <f>'1º TRIMESTRE'!Q19</f>
        <v>3.3.90.39</v>
      </c>
      <c r="R19" s="16">
        <f>'1º TRIMESTRE'!R19+96528.66</f>
        <v>856189.9</v>
      </c>
      <c r="S19" s="16">
        <v>73148.7</v>
      </c>
      <c r="T19" s="16">
        <f>'1º TRIMESTRE'!T19+S19</f>
        <v>163884.41999999998</v>
      </c>
      <c r="U19" s="16">
        <f>'1º TRIMESTRE'!U19+S19</f>
        <v>832809.94</v>
      </c>
      <c r="V19" s="16" t="str">
        <f>'1º TRIMESTRE'!V19</f>
        <v>andamento</v>
      </c>
    </row>
    <row r="20" spans="1:22" ht="31.5">
      <c r="A20" s="14" t="str">
        <f>'1º TRIMESTRE'!A20</f>
        <v>CONCORRÊNCIA / nº 19/2019</v>
      </c>
      <c r="B20" s="14" t="str">
        <f>'1º TRIMESTRE'!B20</f>
        <v>SERVIÇO DE MANUTENÇÃO DO SISTEMA DE MICRODRENAGEM DE AGUAS PLUVIAIS EM TODAS AS RPAS DA CIDADE DO RECIFE - 04 E 05</v>
      </c>
      <c r="C20" s="14">
        <f>'1º TRIMESTRE'!C20</f>
        <v>0</v>
      </c>
      <c r="D20" s="14">
        <f>'1º TRIMESTRE'!D20</f>
        <v>0</v>
      </c>
      <c r="E20" s="57">
        <f>'1º TRIMESTRE'!E20</f>
        <v>0</v>
      </c>
      <c r="F20" s="57">
        <f>'1º TRIMESTRE'!F20</f>
        <v>0</v>
      </c>
      <c r="G20" s="14" t="str">
        <f>'1º TRIMESTRE'!G20</f>
        <v>01.514.128/0001-36</v>
      </c>
      <c r="H20" s="14" t="str">
        <f>'1º TRIMESTRE'!H20</f>
        <v>SCAVE SERVICOS DE ENGENHARIA E LOCACAO LTDA</v>
      </c>
      <c r="I20" s="15" t="str">
        <f>'1º TRIMESTRE'!I20</f>
        <v>6-015/20</v>
      </c>
      <c r="J20" s="160">
        <f>'1º TRIMESTRE'!J20</f>
        <v>43997</v>
      </c>
      <c r="K20" s="15">
        <f>'1º TRIMESTRE'!K20</f>
        <v>1125</v>
      </c>
      <c r="L20" s="16">
        <f>'1º TRIMESTRE'!L20</f>
        <v>17094320.97</v>
      </c>
      <c r="M20" s="160">
        <f>'1º TRIMESTRE'!M20</f>
        <v>45122</v>
      </c>
      <c r="N20" s="15">
        <f>'1º TRIMESTRE'!N20</f>
        <v>0</v>
      </c>
      <c r="O20" s="16">
        <f>'1º TRIMESTRE'!O20</f>
        <v>3011427.7</v>
      </c>
      <c r="P20" s="171">
        <f>'1º TRIMESTRE'!P20</f>
        <v>2353695.85</v>
      </c>
      <c r="Q20" s="15" t="str">
        <f>'1º TRIMESTRE'!Q20</f>
        <v>3.3.90.39</v>
      </c>
      <c r="R20" s="16">
        <f>'1º TRIMESTRE'!R20+1583820.95</f>
        <v>13955065.85</v>
      </c>
      <c r="S20" s="16">
        <v>1365991.3199999998</v>
      </c>
      <c r="T20" s="16">
        <f>'1º TRIMESTRE'!T20+S20</f>
        <v>2039768.6099999999</v>
      </c>
      <c r="U20" s="16">
        <f>'1º TRIMESTRE'!U20+S20</f>
        <v>13164261.86</v>
      </c>
      <c r="V20" s="16" t="str">
        <f>'1º TRIMESTRE'!V20</f>
        <v>andamento</v>
      </c>
    </row>
    <row r="21" spans="1:22" ht="31.5">
      <c r="A21" s="14" t="str">
        <f>'1º TRIMESTRE'!A21</f>
        <v>CONCORRÊNCIA / nº 19/2019</v>
      </c>
      <c r="B21" s="14" t="str">
        <f>'1º TRIMESTRE'!B21</f>
        <v>SERVIÇO DE MANUTENÇÃO DO SISTEMA DE MICRODRENAGEM DE AGUAS PLUVIAIS EM TODAS AS RPAS DO RECIFE - RPA 06</v>
      </c>
      <c r="C21" s="14">
        <f>'1º TRIMESTRE'!C21</f>
        <v>0</v>
      </c>
      <c r="D21" s="14">
        <f>'1º TRIMESTRE'!D21</f>
        <v>0</v>
      </c>
      <c r="E21" s="57">
        <f>'1º TRIMESTRE'!E21</f>
        <v>0</v>
      </c>
      <c r="F21" s="57">
        <f>'1º TRIMESTRE'!F21</f>
        <v>0</v>
      </c>
      <c r="G21" s="14" t="str">
        <f>'1º TRIMESTRE'!G21</f>
        <v>10.811.370/0001-62</v>
      </c>
      <c r="H21" s="14" t="str">
        <f>'1º TRIMESTRE'!H21</f>
        <v>GUERRA CONSTRUCOES LTDA</v>
      </c>
      <c r="I21" s="15" t="str">
        <f>'1º TRIMESTRE'!I21</f>
        <v>6-016/20</v>
      </c>
      <c r="J21" s="160">
        <f>'1º TRIMESTRE'!J21</f>
        <v>43997</v>
      </c>
      <c r="K21" s="15">
        <f>'1º TRIMESTRE'!K21</f>
        <v>1125</v>
      </c>
      <c r="L21" s="16">
        <f>'1º TRIMESTRE'!L21</f>
        <v>18840293.85</v>
      </c>
      <c r="M21" s="160">
        <f>'1º TRIMESTRE'!M21</f>
        <v>45122</v>
      </c>
      <c r="N21" s="15">
        <f>'1º TRIMESTRE'!N21</f>
        <v>0</v>
      </c>
      <c r="O21" s="16">
        <f>'1º TRIMESTRE'!O21+1499326.1</f>
        <v>4929083.800000001</v>
      </c>
      <c r="P21" s="171">
        <v>5078325.03</v>
      </c>
      <c r="Q21" s="15" t="str">
        <f>'1º TRIMESTRE'!Q21</f>
        <v>3.3.90.39</v>
      </c>
      <c r="R21" s="16">
        <f>'1º TRIMESTRE'!R21+2407654.38</f>
        <v>15243873.8</v>
      </c>
      <c r="S21" s="16">
        <v>2633255.15</v>
      </c>
      <c r="T21" s="16">
        <f>'1º TRIMESTRE'!T21+S21</f>
        <v>3863659.34</v>
      </c>
      <c r="U21" s="16">
        <f>'1º TRIMESTRE'!U21+S21</f>
        <v>15099516.37</v>
      </c>
      <c r="V21" s="16" t="str">
        <f>'1º TRIMESTRE'!V21</f>
        <v>andamento</v>
      </c>
    </row>
    <row r="22" spans="1:22" ht="42.75">
      <c r="A22" s="14" t="str">
        <f>'1º TRIMESTRE'!A22</f>
        <v>DISP 3/2020</v>
      </c>
      <c r="B22" s="14" t="str">
        <f>'1º TRIMESTRE'!B22</f>
        <v>MONITORAMENTO AMBIENTAL DO ATERRO CONTROLADO DA MURIBECA E SERVIÇOS DE CONSULTORIA TECNOLÓGICA PARA TRATAMENTO DE RESÍDUOS SÓLIDOS URBANOS</v>
      </c>
      <c r="C22" s="14">
        <f>'1º TRIMESTRE'!C22</f>
        <v>0</v>
      </c>
      <c r="D22" s="14">
        <f>'1º TRIMESTRE'!D22</f>
        <v>0</v>
      </c>
      <c r="E22" s="57">
        <f>'1º TRIMESTRE'!E22</f>
        <v>0</v>
      </c>
      <c r="F22" s="57">
        <f>'1º TRIMESTRE'!F22</f>
        <v>0</v>
      </c>
      <c r="G22" s="14" t="str">
        <f>'1º TRIMESTRE'!G22</f>
        <v>11.187.606/0001-02</v>
      </c>
      <c r="H22" s="14" t="str">
        <f>'1º TRIMESTRE'!H22</f>
        <v>ATEPE ASSOCIACAO TECNOLOGICA DE PERNAMBUCO                  </v>
      </c>
      <c r="I22" s="15" t="str">
        <f>'1º TRIMESTRE'!I22</f>
        <v>6-018/20</v>
      </c>
      <c r="J22" s="160">
        <f>'1º TRIMESTRE'!J22</f>
        <v>44007</v>
      </c>
      <c r="K22" s="15">
        <f>'1º TRIMESTRE'!K22</f>
        <v>365</v>
      </c>
      <c r="L22" s="16">
        <f>'1º TRIMESTRE'!L22</f>
        <v>251180</v>
      </c>
      <c r="M22" s="160">
        <f>'1º TRIMESTRE'!M22</f>
        <v>44737</v>
      </c>
      <c r="N22" s="15">
        <f>'1º TRIMESTRE'!N22</f>
        <v>365</v>
      </c>
      <c r="O22" s="16">
        <f>'1º TRIMESTRE'!O22</f>
        <v>251180</v>
      </c>
      <c r="P22" s="171">
        <f>'1º TRIMESTRE'!P22</f>
        <v>0</v>
      </c>
      <c r="Q22" s="15" t="str">
        <f>'1º TRIMESTRE'!Q22</f>
        <v>3.3.90.39</v>
      </c>
      <c r="R22" s="16">
        <f>'1º TRIMESTRE'!R22+38390.1</f>
        <v>368261.1</v>
      </c>
      <c r="S22" s="16">
        <v>38390.1</v>
      </c>
      <c r="T22" s="16">
        <f>'1º TRIMESTRE'!T22+S22</f>
        <v>69430.1</v>
      </c>
      <c r="U22" s="16">
        <f>'1º TRIMESTRE'!U22+S22</f>
        <v>368261.1</v>
      </c>
      <c r="V22" s="16" t="str">
        <f>'1º TRIMESTRE'!V22</f>
        <v>andamento</v>
      </c>
    </row>
    <row r="23" spans="1:22" ht="42.75">
      <c r="A23" s="14" t="str">
        <f>'1º TRIMESTRE'!A23</f>
        <v>CONCORRÊNCIA Licitação: 1/2020</v>
      </c>
      <c r="B23" s="14" t="str">
        <f>'1º TRIMESTRE'!B23</f>
        <v>SERVIÇOS DE MANUTENÇÃO CORRETIVA DE VIAS NÃO PAVIMENTADAS DO SISTEMA VIÁRIO DA CIDADE DO RECIFE, COMPOSTOS BASICAMENTE POR SERVIÇOS DE TERRAPLENAGEM.</v>
      </c>
      <c r="C23" s="14">
        <f>'1º TRIMESTRE'!C23</f>
        <v>0</v>
      </c>
      <c r="D23" s="14">
        <f>'1º TRIMESTRE'!D23</f>
        <v>0</v>
      </c>
      <c r="E23" s="57">
        <f>'1º TRIMESTRE'!E23</f>
        <v>0</v>
      </c>
      <c r="F23" s="57">
        <f>'1º TRIMESTRE'!F23</f>
        <v>0</v>
      </c>
      <c r="G23" s="14" t="str">
        <f>'1º TRIMESTRE'!G23</f>
        <v>40.884.405/0001-54</v>
      </c>
      <c r="H23" s="14" t="str">
        <f>'1º TRIMESTRE'!H23</f>
        <v>LOQUIPE LOCACAO DE EQUIPAMENTOS E MAO DE OBRA LTDA</v>
      </c>
      <c r="I23" s="15" t="str">
        <f>'1º TRIMESTRE'!I23</f>
        <v>6-024/20</v>
      </c>
      <c r="J23" s="160">
        <f>'1º TRIMESTRE'!J23</f>
        <v>44084</v>
      </c>
      <c r="K23" s="15">
        <f>'1º TRIMESTRE'!K23</f>
        <v>760</v>
      </c>
      <c r="L23" s="16">
        <f>'1º TRIMESTRE'!L23</f>
        <v>2567335.44</v>
      </c>
      <c r="M23" s="160">
        <f>'1º TRIMESTRE'!M23</f>
        <v>44844</v>
      </c>
      <c r="N23" s="15">
        <f>'1º TRIMESTRE'!N23</f>
        <v>0</v>
      </c>
      <c r="O23" s="16">
        <f>'1º TRIMESTRE'!O23+325492</f>
        <v>325492</v>
      </c>
      <c r="P23" s="171">
        <f>'1º TRIMESTRE'!P23</f>
        <v>0</v>
      </c>
      <c r="Q23" s="15" t="str">
        <f>'1º TRIMESTRE'!Q23</f>
        <v>3.3.90.39</v>
      </c>
      <c r="R23" s="16">
        <f>'1º TRIMESTRE'!R23+236596.45</f>
        <v>1886704.46</v>
      </c>
      <c r="S23" s="16">
        <v>156576.55</v>
      </c>
      <c r="T23" s="16">
        <f>'1º TRIMESTRE'!T23+S23</f>
        <v>330974.08999999997</v>
      </c>
      <c r="U23" s="16">
        <f>'1º TRIMESTRE'!U23+S23</f>
        <v>1806684.56</v>
      </c>
      <c r="V23" s="16" t="str">
        <f>'1º TRIMESTRE'!V23</f>
        <v>andamento</v>
      </c>
    </row>
    <row r="24" spans="1:22" ht="31.5">
      <c r="A24" s="14" t="str">
        <f>'1º TRIMESTRE'!A24</f>
        <v>CONCORRÊNCIA Licitação: 3/2020</v>
      </c>
      <c r="B24" s="14" t="str">
        <f>'1º TRIMESTRE'!B24</f>
        <v>SERVIÇOS DE IMPLANTAÇÃO/REQUALIFICAÇÃO DA REDE DE DRENAGEM E PAVIMENTAÇÃO DAS RUAS DAVID NASSER E SENADOR THOMAZ LOBO</v>
      </c>
      <c r="C24" s="14" t="str">
        <f>'1º TRIMESTRE'!C24</f>
        <v>535346/2020</v>
      </c>
      <c r="D24" s="14" t="str">
        <f>'1º TRIMESTRE'!D24</f>
        <v>FINISA</v>
      </c>
      <c r="E24" s="57">
        <f>'1º TRIMESTRE'!E24</f>
        <v>94508747.5</v>
      </c>
      <c r="F24" s="57">
        <f>'1º TRIMESTRE'!F24</f>
        <v>0</v>
      </c>
      <c r="G24" s="14" t="str">
        <f>'1º TRIMESTRE'!G24</f>
        <v>07.157.925/0001-90</v>
      </c>
      <c r="H24" s="14" t="str">
        <f>'1º TRIMESTRE'!H24</f>
        <v>WB CONSTRUTORA LTDA</v>
      </c>
      <c r="I24" s="15" t="str">
        <f>'1º TRIMESTRE'!I24</f>
        <v>6-027/20</v>
      </c>
      <c r="J24" s="160">
        <f>'1º TRIMESTRE'!J24</f>
        <v>44089</v>
      </c>
      <c r="K24" s="15">
        <f>'1º TRIMESTRE'!K24</f>
        <v>210</v>
      </c>
      <c r="L24" s="16">
        <f>'1º TRIMESTRE'!L24</f>
        <v>3335155.86</v>
      </c>
      <c r="M24" s="160">
        <f>'1º TRIMESTRE'!M24</f>
        <v>44584</v>
      </c>
      <c r="N24" s="15">
        <f>'1º TRIMESTRE'!N24</f>
        <v>285</v>
      </c>
      <c r="O24" s="16">
        <f>'1º TRIMESTRE'!O24</f>
        <v>767945.97</v>
      </c>
      <c r="P24" s="171">
        <f>'1º TRIMESTRE'!P24</f>
        <v>0</v>
      </c>
      <c r="Q24" s="15" t="str">
        <f>'1º TRIMESTRE'!Q24</f>
        <v>4.4.90.39</v>
      </c>
      <c r="R24" s="16">
        <f>'1º TRIMESTRE'!R24</f>
        <v>3486185.38</v>
      </c>
      <c r="S24" s="16">
        <v>0</v>
      </c>
      <c r="T24" s="16">
        <f>'1º TRIMESTRE'!T24+S24</f>
        <v>538484.02</v>
      </c>
      <c r="U24" s="16">
        <f>'1º TRIMESTRE'!U24+S24</f>
        <v>3486185.3800000004</v>
      </c>
      <c r="V24" s="16" t="str">
        <f>'1º TRIMESTRE'!V24</f>
        <v>encerrado</v>
      </c>
    </row>
    <row r="25" spans="1:22" ht="21">
      <c r="A25" s="14" t="str">
        <f>'1º TRIMESTRE'!A25</f>
        <v>CONCORRÊNCIA Licitação: 2/2020</v>
      </c>
      <c r="B25" s="14" t="str">
        <f>'1º TRIMESTRE'!B25</f>
        <v>CONTRATAÇÃO DOS SERVIÇOS DE MANUTENÇÃO CORRETIVA DO SISTEMA VIÁRIO DO RECIFE RPA 01</v>
      </c>
      <c r="C25" s="14">
        <f>'1º TRIMESTRE'!C25</f>
        <v>0</v>
      </c>
      <c r="D25" s="14">
        <f>'1º TRIMESTRE'!D25</f>
        <v>0</v>
      </c>
      <c r="E25" s="57">
        <f>'1º TRIMESTRE'!E25</f>
        <v>0</v>
      </c>
      <c r="F25" s="57">
        <f>'1º TRIMESTRE'!F25</f>
        <v>0</v>
      </c>
      <c r="G25" s="14" t="str">
        <f>'1º TRIMESTRE'!G25</f>
        <v>23.742.620/0001-00</v>
      </c>
      <c r="H25" s="14" t="str">
        <f>'1º TRIMESTRE'!H25</f>
        <v>INSTTALE ENGENHARIA LTDA</v>
      </c>
      <c r="I25" s="15" t="str">
        <f>'1º TRIMESTRE'!I25</f>
        <v>6-029/20</v>
      </c>
      <c r="J25" s="160">
        <f>'1º TRIMESTRE'!J25</f>
        <v>44105</v>
      </c>
      <c r="K25" s="15">
        <f>'1º TRIMESTRE'!K25</f>
        <v>760</v>
      </c>
      <c r="L25" s="16">
        <f>'1º TRIMESTRE'!L25</f>
        <v>6329253.03</v>
      </c>
      <c r="M25" s="160">
        <f>'1º TRIMESTRE'!M25</f>
        <v>44865</v>
      </c>
      <c r="N25" s="15">
        <f>'1º TRIMESTRE'!N25</f>
        <v>0</v>
      </c>
      <c r="O25" s="16">
        <f>'1º TRIMESTRE'!O25+222691.53</f>
        <v>222691.53</v>
      </c>
      <c r="P25" s="171">
        <f>'1º TRIMESTRE'!P25</f>
        <v>707143.97</v>
      </c>
      <c r="Q25" s="15" t="str">
        <f>'1º TRIMESTRE'!Q25</f>
        <v>3.3.90.39</v>
      </c>
      <c r="R25" s="16">
        <f>'1º TRIMESTRE'!R25+580742.2</f>
        <v>3443539.46</v>
      </c>
      <c r="S25" s="16">
        <v>619215.05</v>
      </c>
      <c r="T25" s="16">
        <f>'1º TRIMESTRE'!T25+S25</f>
        <v>744442.54</v>
      </c>
      <c r="U25" s="16">
        <f>'1º TRIMESTRE'!U25+S25</f>
        <v>3416574.3600000003</v>
      </c>
      <c r="V25" s="16" t="str">
        <f>'1º TRIMESTRE'!V25</f>
        <v>andamento</v>
      </c>
    </row>
    <row r="26" spans="1:22" ht="31.5">
      <c r="A26" s="14" t="str">
        <f>'1º TRIMESTRE'!A26</f>
        <v>CONCORRÊNCIA Licitação: 2/2020</v>
      </c>
      <c r="B26" s="14" t="str">
        <f>'1º TRIMESTRE'!B26</f>
        <v>CONTRATAÇÃO DOS SERVIÇOS DE MANUTENÇÃO CORRETIVA DO SISTEMA VIÁRIO DO RECIFE RPA 02 E 03</v>
      </c>
      <c r="C26" s="14">
        <f>'1º TRIMESTRE'!C26</f>
        <v>0</v>
      </c>
      <c r="D26" s="14">
        <f>'1º TRIMESTRE'!D26</f>
        <v>0</v>
      </c>
      <c r="E26" s="57">
        <f>'1º TRIMESTRE'!E26</f>
        <v>0</v>
      </c>
      <c r="F26" s="57">
        <f>'1º TRIMESTRE'!F26</f>
        <v>0</v>
      </c>
      <c r="G26" s="14" t="str">
        <f>'1º TRIMESTRE'!G26</f>
        <v>00.999.591/0001-52</v>
      </c>
      <c r="H26" s="14" t="str">
        <f>'1º TRIMESTRE'!H26</f>
        <v>AGC CONSTRUTORA E EMPREENDIMENTOS LTDA                      </v>
      </c>
      <c r="I26" s="15" t="str">
        <f>'1º TRIMESTRE'!I26</f>
        <v>6-030/20</v>
      </c>
      <c r="J26" s="160">
        <f>'1º TRIMESTRE'!J26</f>
        <v>44130</v>
      </c>
      <c r="K26" s="15">
        <f>'1º TRIMESTRE'!K26</f>
        <v>760</v>
      </c>
      <c r="L26" s="16">
        <f>'1º TRIMESTRE'!L26</f>
        <v>9905518.18</v>
      </c>
      <c r="M26" s="160">
        <f>'1º TRIMESTRE'!M26</f>
        <v>44890</v>
      </c>
      <c r="N26" s="15">
        <f>'1º TRIMESTRE'!N26</f>
        <v>0</v>
      </c>
      <c r="O26" s="16">
        <f>'1º TRIMESTRE'!O26</f>
        <v>100704.67</v>
      </c>
      <c r="P26" s="171">
        <f>'1º TRIMESTRE'!P26</f>
        <v>1135184.8</v>
      </c>
      <c r="Q26" s="15" t="str">
        <f>'1º TRIMESTRE'!Q26</f>
        <v>3.3.90.39</v>
      </c>
      <c r="R26" s="16">
        <f>'1º TRIMESTRE'!R26+776055.71</f>
        <v>6587572.2299999995</v>
      </c>
      <c r="S26" s="16">
        <v>776055.7100000001</v>
      </c>
      <c r="T26" s="16">
        <f>'1º TRIMESTRE'!T26+S26</f>
        <v>1319243.21</v>
      </c>
      <c r="U26" s="16">
        <f>'1º TRIMESTRE'!U26+S26</f>
        <v>6587572.23</v>
      </c>
      <c r="V26" s="16" t="str">
        <f>'1º TRIMESTRE'!V26</f>
        <v>andamento</v>
      </c>
    </row>
    <row r="27" spans="1:22" ht="31.5">
      <c r="A27" s="14" t="str">
        <f>'1º TRIMESTRE'!A27</f>
        <v>CONCORRÊNCIA Licitação: 2/2020</v>
      </c>
      <c r="B27" s="14" t="str">
        <f>'1º TRIMESTRE'!B27</f>
        <v>CONTRATAÇÃO DOS SERVIÇOS DE MANUTENÇÃO CORRETIVA DO SISTEMA VIÁRIO DO RECIFE RPA 04 E 05</v>
      </c>
      <c r="C27" s="14">
        <f>'1º TRIMESTRE'!C27</f>
        <v>0</v>
      </c>
      <c r="D27" s="14">
        <f>'1º TRIMESTRE'!D27</f>
        <v>0</v>
      </c>
      <c r="E27" s="57">
        <f>'1º TRIMESTRE'!E27</f>
        <v>0</v>
      </c>
      <c r="F27" s="57">
        <f>'1º TRIMESTRE'!F27</f>
        <v>0</v>
      </c>
      <c r="G27" s="14" t="str">
        <f>'1º TRIMESTRE'!G27</f>
        <v>23.742.620/0001-00</v>
      </c>
      <c r="H27" s="14" t="str">
        <f>'1º TRIMESTRE'!H27</f>
        <v>INSTTALE ENGENHARIA LTDA</v>
      </c>
      <c r="I27" s="15" t="str">
        <f>'1º TRIMESTRE'!I27</f>
        <v>6-031/20</v>
      </c>
      <c r="J27" s="160">
        <f>'1º TRIMESTRE'!J27</f>
        <v>44130</v>
      </c>
      <c r="K27" s="15">
        <f>'1º TRIMESTRE'!K27</f>
        <v>760</v>
      </c>
      <c r="L27" s="16">
        <f>'1º TRIMESTRE'!L27</f>
        <v>12232966.38</v>
      </c>
      <c r="M27" s="160">
        <f>'1º TRIMESTRE'!M27</f>
        <v>44890</v>
      </c>
      <c r="N27" s="15">
        <f>'1º TRIMESTRE'!N27</f>
        <v>0</v>
      </c>
      <c r="O27" s="16">
        <f>'1º TRIMESTRE'!O27</f>
        <v>215512.28</v>
      </c>
      <c r="P27" s="171">
        <f>'1º TRIMESTRE'!P27</f>
        <v>1362845.01</v>
      </c>
      <c r="Q27" s="15" t="str">
        <f>'1º TRIMESTRE'!Q27</f>
        <v>3.3.90.39</v>
      </c>
      <c r="R27" s="16">
        <f>'1º TRIMESTRE'!R27+926010.27</f>
        <v>8684816.71</v>
      </c>
      <c r="S27" s="16">
        <v>954482.54</v>
      </c>
      <c r="T27" s="16">
        <f>'1º TRIMESTRE'!T27+S27</f>
        <v>1248981.9000000001</v>
      </c>
      <c r="U27" s="16">
        <f>'1º TRIMESTRE'!U27+S27</f>
        <v>8680646.06</v>
      </c>
      <c r="V27" s="16" t="str">
        <f>'1º TRIMESTRE'!V27</f>
        <v>andamento</v>
      </c>
    </row>
    <row r="28" spans="1:22" ht="21">
      <c r="A28" s="14" t="str">
        <f>'1º TRIMESTRE'!A28</f>
        <v>CONCORRÊNCIA Licitação: 2/2020</v>
      </c>
      <c r="B28" s="14" t="str">
        <f>'1º TRIMESTRE'!B28</f>
        <v>CONTRATAÇÃO DOS SERVIÇOS DE MANUTENÇÃO CORRETIVA DO SISTEMA VIÁRIO DO RECIFE RPA 06</v>
      </c>
      <c r="C28" s="14">
        <f>'1º TRIMESTRE'!C28</f>
        <v>0</v>
      </c>
      <c r="D28" s="14">
        <f>'1º TRIMESTRE'!D28</f>
        <v>0</v>
      </c>
      <c r="E28" s="57">
        <f>'1º TRIMESTRE'!E28</f>
        <v>0</v>
      </c>
      <c r="F28" s="57">
        <f>'1º TRIMESTRE'!F28</f>
        <v>0</v>
      </c>
      <c r="G28" s="14" t="str">
        <f>'1º TRIMESTRE'!G28</f>
        <v>40.882.060/0001-08</v>
      </c>
      <c r="H28" s="14" t="str">
        <f>'1º TRIMESTRE'!H28</f>
        <v>LIDERMAC CONSTRUCOES E EQUIPAMENTOS LTDA</v>
      </c>
      <c r="I28" s="15" t="str">
        <f>'1º TRIMESTRE'!I28</f>
        <v>6-032/20</v>
      </c>
      <c r="J28" s="160">
        <f>'1º TRIMESTRE'!J28</f>
        <v>44130</v>
      </c>
      <c r="K28" s="15">
        <f>'1º TRIMESTRE'!K28</f>
        <v>760</v>
      </c>
      <c r="L28" s="16">
        <f>'1º TRIMESTRE'!L28</f>
        <v>10773413.11</v>
      </c>
      <c r="M28" s="160">
        <f>'1º TRIMESTRE'!M28</f>
        <v>44890</v>
      </c>
      <c r="N28" s="15">
        <f>'1º TRIMESTRE'!N28</f>
        <v>0</v>
      </c>
      <c r="O28" s="16">
        <f>'1º TRIMESTRE'!O28</f>
        <v>0</v>
      </c>
      <c r="P28" s="171">
        <f>'1º TRIMESTRE'!P28</f>
        <v>3401715.99</v>
      </c>
      <c r="Q28" s="15" t="str">
        <f>'1º TRIMESTRE'!Q28</f>
        <v>3.3.90.39</v>
      </c>
      <c r="R28" s="16">
        <f>'1º TRIMESTRE'!R28+413290.81</f>
        <v>5144304.9799999995</v>
      </c>
      <c r="S28" s="16">
        <v>413290.81</v>
      </c>
      <c r="T28" s="16">
        <f>'1º TRIMESTRE'!T28+S28</f>
        <v>636818.02</v>
      </c>
      <c r="U28" s="16">
        <f>'1º TRIMESTRE'!U28+S28</f>
        <v>5144304.9799999995</v>
      </c>
      <c r="V28" s="16" t="str">
        <f>'1º TRIMESTRE'!V28</f>
        <v>andamento</v>
      </c>
    </row>
    <row r="29" spans="1:22" ht="63.75">
      <c r="A29" s="14" t="str">
        <f>'1º TRIMESTRE'!A29</f>
        <v>TOMADA DE PREÇOS / 005/2020</v>
      </c>
      <c r="B29" s="14" t="str">
        <f>'1º TRIMESTRE'!B29</f>
        <v>CONTRATACAO DE DE EMPRESA DE ENGENHARIA PARA EXECUCAO DE SERVICOS DE MANUTENCAO DE FONTES. COM BOMBAS CENTRIFUGAS DE 5 A 25 CV. ILUMINACAO ESPECIAL E OPERACAO AUTOMATIZADA POR QUADRO DE COMANDO INTERRUPTO HORARIO</v>
      </c>
      <c r="C29" s="14">
        <f>'1º TRIMESTRE'!C29</f>
        <v>0</v>
      </c>
      <c r="D29" s="14">
        <f>'1º TRIMESTRE'!D29</f>
        <v>0</v>
      </c>
      <c r="E29" s="57">
        <f>'1º TRIMESTRE'!E29</f>
        <v>0</v>
      </c>
      <c r="F29" s="57">
        <f>'1º TRIMESTRE'!F29</f>
        <v>0</v>
      </c>
      <c r="G29" s="14" t="str">
        <f>'1º TRIMESTRE'!G29</f>
        <v>06.157.352/0001-31</v>
      </c>
      <c r="H29" s="14" t="str">
        <f>'1º TRIMESTRE'!H29</f>
        <v>ROBERTO &amp; JAIR COMÉRCIO E SERVIÇOS LTDA-ME</v>
      </c>
      <c r="I29" s="15" t="str">
        <f>'1º TRIMESTRE'!I29</f>
        <v>6-043/20</v>
      </c>
      <c r="J29" s="160">
        <f>'1º TRIMESTRE'!J29</f>
        <v>44138</v>
      </c>
      <c r="K29" s="15">
        <f>'1º TRIMESTRE'!K29</f>
        <v>760</v>
      </c>
      <c r="L29" s="16">
        <f>'1º TRIMESTRE'!L29</f>
        <v>536156.1</v>
      </c>
      <c r="M29" s="160">
        <f>'1º TRIMESTRE'!M29</f>
        <v>44898</v>
      </c>
      <c r="N29" s="15">
        <f>'1º TRIMESTRE'!N29</f>
        <v>0</v>
      </c>
      <c r="O29" s="16">
        <f>'1º TRIMESTRE'!O29+50032.16</f>
        <v>132751.34</v>
      </c>
      <c r="P29" s="171">
        <f>'1º TRIMESTRE'!P29</f>
        <v>0</v>
      </c>
      <c r="Q29" s="15" t="str">
        <f>'1º TRIMESTRE'!Q29</f>
        <v>3.3.90.39</v>
      </c>
      <c r="R29" s="16">
        <f>'1º TRIMESTRE'!R29+87424.65</f>
        <v>502717.98</v>
      </c>
      <c r="S29" s="16">
        <v>87424.65</v>
      </c>
      <c r="T29" s="16">
        <f>'1º TRIMESTRE'!T29+S29</f>
        <v>136807.63999999998</v>
      </c>
      <c r="U29" s="16">
        <f>'1º TRIMESTRE'!U29+S29</f>
        <v>502717.98</v>
      </c>
      <c r="V29" s="16" t="str">
        <f>'1º TRIMESTRE'!V29</f>
        <v>andamento</v>
      </c>
    </row>
    <row r="30" spans="1:22" ht="75">
      <c r="A30" s="14" t="str">
        <f>'1º TRIMESTRE'!A30</f>
        <v>CONCORRÊNCIA / nº 006/2020</v>
      </c>
      <c r="B30" s="14" t="str">
        <f>'1º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14">
        <f>'1º TRIMESTRE'!C30</f>
        <v>0</v>
      </c>
      <c r="D30" s="14">
        <f>'1º TRIMESTRE'!D30</f>
        <v>0</v>
      </c>
      <c r="E30" s="57">
        <f>'1º TRIMESTRE'!E30</f>
        <v>0</v>
      </c>
      <c r="F30" s="57">
        <f>'1º TRIMESTRE'!F30</f>
        <v>0</v>
      </c>
      <c r="G30" s="14" t="str">
        <f>'1º TRIMESTRE'!G30</f>
        <v>01.346.561/0001-00</v>
      </c>
      <c r="H30" s="14" t="str">
        <f>'1º TRIMESTRE'!H30</f>
        <v>VASCONCELOS E SANTOS LTDA</v>
      </c>
      <c r="I30" s="15" t="str">
        <f>'1º TRIMESTRE'!I30</f>
        <v>6-044/20</v>
      </c>
      <c r="J30" s="160">
        <f>'1º TRIMESTRE'!J30</f>
        <v>44162</v>
      </c>
      <c r="K30" s="15">
        <f>'1º TRIMESTRE'!K30</f>
        <v>790</v>
      </c>
      <c r="L30" s="16">
        <f>'1º TRIMESTRE'!L30</f>
        <v>1704583.5</v>
      </c>
      <c r="M30" s="160">
        <f>'1º TRIMESTRE'!M30</f>
        <v>44952</v>
      </c>
      <c r="N30" s="15">
        <f>'1º TRIMESTRE'!N30</f>
        <v>0</v>
      </c>
      <c r="O30" s="16">
        <f>'1º TRIMESTRE'!O30+302588</f>
        <v>302588</v>
      </c>
      <c r="P30" s="171">
        <f>'1º TRIMESTRE'!P30</f>
        <v>0</v>
      </c>
      <c r="Q30" s="15" t="str">
        <f>'1º TRIMESTRE'!Q30</f>
        <v>3.3.90.39</v>
      </c>
      <c r="R30" s="16">
        <f>'1º TRIMESTRE'!R30+213387.06</f>
        <v>1079578.2</v>
      </c>
      <c r="S30" s="16">
        <v>213387.06</v>
      </c>
      <c r="T30" s="16">
        <f>'1º TRIMESTRE'!T30+S30</f>
        <v>382025.66000000003</v>
      </c>
      <c r="U30" s="16">
        <f>'1º TRIMESTRE'!U30+S30</f>
        <v>1079578.2</v>
      </c>
      <c r="V30" s="16" t="str">
        <f>'1º TRIMESTRE'!V30</f>
        <v>andamento</v>
      </c>
    </row>
    <row r="31" spans="1:22" ht="31.5">
      <c r="A31" s="14" t="str">
        <f>'1º TRIMESTRE'!A31</f>
        <v>CONCORRÊNCIA Licitação: 19/2019</v>
      </c>
      <c r="B31" s="14" t="str">
        <f>'1º TRIMESTRE'!B31</f>
        <v>SERVIÇOS DE MANUTENÇÃO DO SISTEMA DE MICRODRENAGEM DAS AGUAS PLUVIAIS DO MUNICIPIO DO RECIFE RPA 1</v>
      </c>
      <c r="C31" s="14">
        <f>'1º TRIMESTRE'!C31</f>
        <v>0</v>
      </c>
      <c r="D31" s="14">
        <f>'1º TRIMESTRE'!D31</f>
        <v>0</v>
      </c>
      <c r="E31" s="57">
        <f>'1º TRIMESTRE'!E31</f>
        <v>0</v>
      </c>
      <c r="F31" s="57">
        <f>'1º TRIMESTRE'!F31</f>
        <v>0</v>
      </c>
      <c r="G31" s="14" t="str">
        <f>'1º TRIMESTRE'!G31</f>
        <v>07.086.088/0001-55</v>
      </c>
      <c r="H31" s="14" t="str">
        <f>'1º TRIMESTRE'!H31</f>
        <v>SOLO CONSTRUCOES E TERRAPLANAGEM LTDA</v>
      </c>
      <c r="I31" s="15" t="str">
        <f>'1º TRIMESTRE'!I31</f>
        <v>6-048/20</v>
      </c>
      <c r="J31" s="160">
        <f>'1º TRIMESTRE'!J31</f>
        <v>44168</v>
      </c>
      <c r="K31" s="15">
        <f>'1º TRIMESTRE'!K31</f>
        <v>1125</v>
      </c>
      <c r="L31" s="16">
        <f>'1º TRIMESTRE'!L31</f>
        <v>16571981.61</v>
      </c>
      <c r="M31" s="160">
        <f>'1º TRIMESTRE'!M31</f>
        <v>45293</v>
      </c>
      <c r="N31" s="15">
        <f>'1º TRIMESTRE'!N31</f>
        <v>0</v>
      </c>
      <c r="O31" s="16">
        <f>'1º TRIMESTRE'!O31+1556969.94</f>
        <v>1556969.94</v>
      </c>
      <c r="P31" s="171">
        <f>'1º TRIMESTRE'!P31</f>
        <v>3759599.49</v>
      </c>
      <c r="Q31" s="15" t="str">
        <f>'1º TRIMESTRE'!Q31</f>
        <v>3.3.90.39</v>
      </c>
      <c r="R31" s="16">
        <f>'1º TRIMESTRE'!R31+1996487.67</f>
        <v>8978857.32</v>
      </c>
      <c r="S31" s="16">
        <v>2263811.34</v>
      </c>
      <c r="T31" s="16">
        <f>'1º TRIMESTRE'!T31+S31</f>
        <v>3250737.5599999996</v>
      </c>
      <c r="U31" s="16">
        <f>'1º TRIMESTRE'!U31+S31</f>
        <v>8672735.68</v>
      </c>
      <c r="V31" s="16" t="str">
        <f>'1º TRIMESTRE'!V31</f>
        <v>andamento</v>
      </c>
    </row>
    <row r="32" spans="1:22" ht="31.5">
      <c r="A32" s="14" t="str">
        <f>'1º TRIMESTRE'!A32</f>
        <v>Convite  Licitação:  001/2021</v>
      </c>
      <c r="B32" s="14" t="str">
        <f>'1º TRIMESTRE'!B32</f>
        <v>CONTRATAÇÃO DE SERVIÇOS DE RECUPERAÇÃO DE ESTRUTURA EM MADEIRA DO SEGUNDO JARDIM EM BOA VIAGEM</v>
      </c>
      <c r="C32" s="14">
        <f>'1º TRIMESTRE'!C32</f>
        <v>0</v>
      </c>
      <c r="D32" s="14">
        <f>'1º TRIMESTRE'!D32</f>
        <v>0</v>
      </c>
      <c r="E32" s="57">
        <f>'1º TRIMESTRE'!E32</f>
        <v>0</v>
      </c>
      <c r="F32" s="57">
        <f>'1º TRIMESTRE'!F32</f>
        <v>0</v>
      </c>
      <c r="G32" s="14" t="str">
        <f>'1º TRIMESTRE'!G32</f>
        <v>06.157.352/0001-31</v>
      </c>
      <c r="H32" s="14" t="str">
        <f>'1º TRIMESTRE'!H32</f>
        <v>ROBERTO &amp; JAIR COMÉRCIO E SERVIÇOS LTDA-ME</v>
      </c>
      <c r="I32" s="15" t="str">
        <f>'1º TRIMESTRE'!I32</f>
        <v>1-002/21</v>
      </c>
      <c r="J32" s="160">
        <f>'1º TRIMESTRE'!J32</f>
        <v>44491</v>
      </c>
      <c r="K32" s="15">
        <f>'1º TRIMESTRE'!K32</f>
        <v>90</v>
      </c>
      <c r="L32" s="16">
        <f>'1º TRIMESTRE'!L32</f>
        <v>91995.11</v>
      </c>
      <c r="M32" s="160">
        <f>'1º TRIMESTRE'!M32</f>
        <v>44581</v>
      </c>
      <c r="N32" s="15">
        <f>'1º TRIMESTRE'!N32</f>
        <v>0</v>
      </c>
      <c r="O32" s="16">
        <f>'1º TRIMESTRE'!O32</f>
        <v>0</v>
      </c>
      <c r="P32" s="171">
        <f>'1º TRIMESTRE'!P32</f>
        <v>0</v>
      </c>
      <c r="Q32" s="15" t="str">
        <f>'1º TRIMESTRE'!Q32</f>
        <v>3.3.90.39</v>
      </c>
      <c r="R32" s="16">
        <f>'1º TRIMESTRE'!R32</f>
        <v>91995.11</v>
      </c>
      <c r="S32" s="16">
        <v>0</v>
      </c>
      <c r="T32" s="16">
        <f>'1º TRIMESTRE'!T32+S32</f>
        <v>0</v>
      </c>
      <c r="U32" s="16">
        <f>'1º TRIMESTRE'!U32+S32</f>
        <v>91995.11</v>
      </c>
      <c r="V32" s="16" t="s">
        <v>188</v>
      </c>
    </row>
    <row r="33" spans="1:22" ht="42.75">
      <c r="A33" s="14" t="str">
        <f>'1º TRIMESTRE'!A33</f>
        <v>CONCORRÊNCIA / nº 12/2020</v>
      </c>
      <c r="B33" s="14" t="str">
        <f>'1º TRIMESTRE'!B33</f>
        <v>CONTRATACAO DOS SERVICOS DE LIMPEZA E MANUTENCAO DO SISTEMA DE MICRODRENAGEM DE AGUAS PLUVIAIS DO MUNICIPIO DO RECIFE RPA 02 E 03</v>
      </c>
      <c r="C33" s="14">
        <f>'1º TRIMESTRE'!C33</f>
        <v>0</v>
      </c>
      <c r="D33" s="14">
        <f>'1º TRIMESTRE'!D33</f>
        <v>0</v>
      </c>
      <c r="E33" s="57">
        <f>'1º TRIMESTRE'!E33</f>
        <v>0</v>
      </c>
      <c r="F33" s="57">
        <f>'1º TRIMESTRE'!F33</f>
        <v>0</v>
      </c>
      <c r="G33" s="14" t="str">
        <f>'1º TRIMESTRE'!G33</f>
        <v>07.693.988/0001-60</v>
      </c>
      <c r="H33" s="14" t="str">
        <f>'1º TRIMESTRE'!H33</f>
        <v>F R F ENGENHARIA LTDA</v>
      </c>
      <c r="I33" s="15" t="str">
        <f>'1º TRIMESTRE'!I33</f>
        <v>6-002/21</v>
      </c>
      <c r="J33" s="160">
        <f>'1º TRIMESTRE'!J33</f>
        <v>44204</v>
      </c>
      <c r="K33" s="15">
        <f>'1º TRIMESTRE'!K33</f>
        <v>1125</v>
      </c>
      <c r="L33" s="16">
        <f>'1º TRIMESTRE'!L33</f>
        <v>17543900.19</v>
      </c>
      <c r="M33" s="160">
        <f>'1º TRIMESTRE'!M33</f>
        <v>45329</v>
      </c>
      <c r="N33" s="15">
        <f>'1º TRIMESTRE'!N33</f>
        <v>0</v>
      </c>
      <c r="O33" s="16">
        <f>'1º TRIMESTRE'!O33+1020796.12</f>
        <v>1734478.42</v>
      </c>
      <c r="P33" s="171">
        <f>'1º TRIMESTRE'!P33</f>
        <v>0</v>
      </c>
      <c r="Q33" s="15" t="str">
        <f>'1º TRIMESTRE'!Q33</f>
        <v>3.3.90.39</v>
      </c>
      <c r="R33" s="16">
        <f>'1º TRIMESTRE'!R33+1930567.13</f>
        <v>7718472.75</v>
      </c>
      <c r="S33" s="16">
        <v>2112590.7499999995</v>
      </c>
      <c r="T33" s="16">
        <f>'1º TRIMESTRE'!T33+S33</f>
        <v>2845305.7899999996</v>
      </c>
      <c r="U33" s="16">
        <f>'1º TRIMESTRE'!U33+S33</f>
        <v>7579078.709999999</v>
      </c>
      <c r="V33" s="16" t="str">
        <f>'1º TRIMESTRE'!V33</f>
        <v>andamento</v>
      </c>
    </row>
    <row r="34" spans="1:22" ht="31.5">
      <c r="A34" s="14" t="str">
        <f>'1º TRIMESTRE'!A34</f>
        <v>Pregão Eletrônico/ nº 017/2020</v>
      </c>
      <c r="B34" s="14" t="str">
        <f>'1º TRIMESTRE'!B34</f>
        <v>SERVIÇO DE MANUTENÇÃO E/OU INSTALAÇÃO DE BRINQUEDOS DE MADEIRA, INSTALADOS EM PARQUES E PRAÇAS DA CIDADE DO RECIFE</v>
      </c>
      <c r="C34" s="14">
        <f>'1º TRIMESTRE'!C34</f>
        <v>0</v>
      </c>
      <c r="D34" s="14">
        <f>'1º TRIMESTRE'!D34</f>
        <v>0</v>
      </c>
      <c r="E34" s="57">
        <f>'1º TRIMESTRE'!E34</f>
        <v>0</v>
      </c>
      <c r="F34" s="57">
        <f>'1º TRIMESTRE'!F34</f>
        <v>0</v>
      </c>
      <c r="G34" s="14" t="str">
        <f>'1º TRIMESTRE'!G34</f>
        <v>06.157.352/0001-31</v>
      </c>
      <c r="H34" s="14" t="str">
        <f>'1º TRIMESTRE'!H34</f>
        <v>ROBERTO &amp; JAIR COMÉRCIO E SERVIÇOS LTDA-ME</v>
      </c>
      <c r="I34" s="15" t="str">
        <f>'1º TRIMESTRE'!I34</f>
        <v>6-003/21</v>
      </c>
      <c r="J34" s="160">
        <f>'1º TRIMESTRE'!J34</f>
        <v>44246</v>
      </c>
      <c r="K34" s="15">
        <f>'1º TRIMESTRE'!K34</f>
        <v>365</v>
      </c>
      <c r="L34" s="16">
        <f>'1º TRIMESTRE'!L34</f>
        <v>159999.96</v>
      </c>
      <c r="M34" s="160">
        <f>'1º TRIMESTRE'!M34</f>
        <v>44701</v>
      </c>
      <c r="N34" s="15">
        <f>'1º TRIMESTRE'!N34</f>
        <v>90</v>
      </c>
      <c r="O34" s="16">
        <f>'1º TRIMESTRE'!O34</f>
        <v>39425.78</v>
      </c>
      <c r="P34" s="171">
        <f>'1º TRIMESTRE'!P34</f>
        <v>0</v>
      </c>
      <c r="Q34" s="15" t="str">
        <f>'1º TRIMESTRE'!Q34</f>
        <v>3.3.90.39</v>
      </c>
      <c r="R34" s="16">
        <f>'1º TRIMESTRE'!R34+14800.15</f>
        <v>199425.69</v>
      </c>
      <c r="S34" s="16">
        <v>14800.15</v>
      </c>
      <c r="T34" s="16">
        <f>'1º TRIMESTRE'!T34+S34</f>
        <v>48287.840000000004</v>
      </c>
      <c r="U34" s="16">
        <f>'1º TRIMESTRE'!U34+S34</f>
        <v>199425.69</v>
      </c>
      <c r="V34" s="16" t="s">
        <v>188</v>
      </c>
    </row>
    <row r="35" spans="1:22" ht="63.75">
      <c r="A35" s="14" t="str">
        <f>'1º TRIMESTRE'!A35</f>
        <v>CONCORRÊNCIA / nº 14/2020</v>
      </c>
      <c r="B35" s="14" t="str">
        <f>'1º TRIMESTRE'!B35</f>
        <v>CONTRATACAO DE EMPRESA DE ENGENHARIA PARA REALIZACAO DE MANUTENCAO PREVENTIVA E CORRETIVA DO SISTEMA DE ILUMINACAO PUBLICA CONVENCIONAL DAS RPAS DO MUNICIPIO DO RECIFE. EM POSTES COM ATE 12 METROS DE ALTURA LOTE I. RPA 1 E 6</v>
      </c>
      <c r="C35" s="14">
        <f>'1º TRIMESTRE'!C35</f>
        <v>0</v>
      </c>
      <c r="D35" s="14">
        <f>'1º TRIMESTRE'!D35</f>
        <v>0</v>
      </c>
      <c r="E35" s="57">
        <f>'1º TRIMESTRE'!E35</f>
        <v>0</v>
      </c>
      <c r="F35" s="57">
        <f>'1º TRIMESTRE'!F35</f>
        <v>0</v>
      </c>
      <c r="G35" s="14" t="str">
        <f>'1º TRIMESTRE'!G35</f>
        <v>03.834.750/0001-57</v>
      </c>
      <c r="H35" s="14" t="str">
        <f>'1º TRIMESTRE'!H35</f>
        <v>EIP SERVICOS DE ILUMINACAO LTDA</v>
      </c>
      <c r="I35" s="15" t="str">
        <f>'1º TRIMESTRE'!I35</f>
        <v>6-004/21</v>
      </c>
      <c r="J35" s="160">
        <f>'1º TRIMESTRE'!J35</f>
        <v>44270</v>
      </c>
      <c r="K35" s="15">
        <f>'1º TRIMESTRE'!K35</f>
        <v>790</v>
      </c>
      <c r="L35" s="16">
        <f>'1º TRIMESTRE'!L35</f>
        <v>1459741.65</v>
      </c>
      <c r="M35" s="160">
        <f>'1º TRIMESTRE'!M35</f>
        <v>45060</v>
      </c>
      <c r="N35" s="15">
        <f>'1º TRIMESTRE'!N35</f>
        <v>0</v>
      </c>
      <c r="O35" s="16">
        <f>'1º TRIMESTRE'!O35</f>
        <v>271913.86</v>
      </c>
      <c r="P35" s="171">
        <v>224737.52</v>
      </c>
      <c r="Q35" s="15" t="str">
        <f>'1º TRIMESTRE'!Q35</f>
        <v>3.3.90.39</v>
      </c>
      <c r="R35" s="16">
        <f>'1º TRIMESTRE'!R35+234620.44</f>
        <v>1015011.1199999999</v>
      </c>
      <c r="S35" s="16">
        <v>234620.43999999997</v>
      </c>
      <c r="T35" s="16">
        <f>'1º TRIMESTRE'!T35+S35</f>
        <v>362494.63999999996</v>
      </c>
      <c r="U35" s="16">
        <f>'1º TRIMESTRE'!U35+S35</f>
        <v>1015011.1199999999</v>
      </c>
      <c r="V35" s="16" t="str">
        <f>'1º TRIMESTRE'!V35</f>
        <v>andamento</v>
      </c>
    </row>
    <row r="36" spans="1:22" ht="63.75">
      <c r="A36" s="14" t="str">
        <f>'1º TRIMESTRE'!A36</f>
        <v>CONCORRÊNCIA / nº 14/2020</v>
      </c>
      <c r="B36" s="14" t="str">
        <f>'1º TRIMESTRE'!B36</f>
        <v>CONTRATACAO DE EMPRESA DE ENGENHARIA PARA REALIZACAO DE MANUTENCAO PREVENTIVA E CORRETIVA DO SISTEMA DE ILUMINACAO PUBLICA CONVENCIONAL DAS RPAS DO MUNICIPIO DO RECIFE. EM POSTES COM ATE 12 METROS DE ALTURA LOTE II RPA 2 E 3</v>
      </c>
      <c r="C36" s="14">
        <f>'1º TRIMESTRE'!C36</f>
        <v>0</v>
      </c>
      <c r="D36" s="14">
        <f>'1º TRIMESTRE'!D36</f>
        <v>0</v>
      </c>
      <c r="E36" s="57">
        <f>'1º TRIMESTRE'!E36</f>
        <v>0</v>
      </c>
      <c r="F36" s="57">
        <f>'1º TRIMESTRE'!F36</f>
        <v>0</v>
      </c>
      <c r="G36" s="14" t="str">
        <f>'1º TRIMESTRE'!G36</f>
        <v>03.834.750/0001-57</v>
      </c>
      <c r="H36" s="14" t="str">
        <f>'1º TRIMESTRE'!H36</f>
        <v>EIP SERVICOS DE ILUMINACAO LTDA</v>
      </c>
      <c r="I36" s="15" t="str">
        <f>'1º TRIMESTRE'!I36</f>
        <v>6-005/21</v>
      </c>
      <c r="J36" s="160">
        <f>'1º TRIMESTRE'!J36</f>
        <v>44270</v>
      </c>
      <c r="K36" s="15">
        <f>'1º TRIMESTRE'!K36</f>
        <v>790</v>
      </c>
      <c r="L36" s="16">
        <f>'1º TRIMESTRE'!L36</f>
        <v>1589764.85</v>
      </c>
      <c r="M36" s="160">
        <f>'1º TRIMESTRE'!M36</f>
        <v>45060</v>
      </c>
      <c r="N36" s="15">
        <f>'1º TRIMESTRE'!N36</f>
        <v>0</v>
      </c>
      <c r="O36" s="16">
        <f>'1º TRIMESTRE'!O36</f>
        <v>337768.38</v>
      </c>
      <c r="P36" s="171">
        <f>'1º TRIMESTRE'!P36</f>
        <v>0</v>
      </c>
      <c r="Q36" s="15" t="str">
        <f>'1º TRIMESTRE'!Q36</f>
        <v>3.3.90.39</v>
      </c>
      <c r="R36" s="16">
        <f>'1º TRIMESTRE'!R36+418087.66</f>
        <v>1183526.93</v>
      </c>
      <c r="S36" s="16">
        <v>418087.66</v>
      </c>
      <c r="T36" s="16">
        <f>'1º TRIMESTRE'!T36+S36</f>
        <v>547381.2999999999</v>
      </c>
      <c r="U36" s="16">
        <f>'1º TRIMESTRE'!U36+S36</f>
        <v>1183526.93</v>
      </c>
      <c r="V36" s="16" t="str">
        <f>'1º TRIMESTRE'!V36</f>
        <v>andamento</v>
      </c>
    </row>
    <row r="37" spans="1:22" ht="53.25">
      <c r="A37" s="14" t="str">
        <f>'1º TRIMESTRE'!A37</f>
        <v>CONCORRÊNCIA / nº 14/2020</v>
      </c>
      <c r="B37" s="14" t="str">
        <f>'1º TRIMESTRE'!B37</f>
        <v>CONTRATAÇÃO DE EMPRESA DE ENGENHARIA PARA REALIZAÇÃO DE MANUTENÇÃO PREVENTIVA E CORRETIVA DO SISTEMA DE ILUMINAÇÃO PUBLICA CONVENCIONAL DAS RPAS DO RECIFE LOTE III RPA  4 E 5</v>
      </c>
      <c r="C37" s="14">
        <f>'1º TRIMESTRE'!C37</f>
        <v>0</v>
      </c>
      <c r="D37" s="14">
        <f>'1º TRIMESTRE'!D37</f>
        <v>0</v>
      </c>
      <c r="E37" s="57">
        <f>'1º TRIMESTRE'!E37</f>
        <v>0</v>
      </c>
      <c r="F37" s="57">
        <f>'1º TRIMESTRE'!F37</f>
        <v>0</v>
      </c>
      <c r="G37" s="14" t="str">
        <f>'1º TRIMESTRE'!G37</f>
        <v>03.834.750/0001-57</v>
      </c>
      <c r="H37" s="14" t="str">
        <f>'1º TRIMESTRE'!H37</f>
        <v>EIP SERVICOS DE ILUMINACAO LTDA</v>
      </c>
      <c r="I37" s="15" t="str">
        <f>'1º TRIMESTRE'!I37</f>
        <v>6-006/21</v>
      </c>
      <c r="J37" s="160">
        <f>'1º TRIMESTRE'!J37</f>
        <v>44270</v>
      </c>
      <c r="K37" s="15">
        <f>'1º TRIMESTRE'!K37</f>
        <v>790</v>
      </c>
      <c r="L37" s="16">
        <f>'1º TRIMESTRE'!L37</f>
        <v>1435226.94</v>
      </c>
      <c r="M37" s="160">
        <f>'1º TRIMESTRE'!M37</f>
        <v>45060</v>
      </c>
      <c r="N37" s="15">
        <f>'1º TRIMESTRE'!N37</f>
        <v>0</v>
      </c>
      <c r="O37" s="16">
        <f>'1º TRIMESTRE'!O37</f>
        <v>341654.57999999996</v>
      </c>
      <c r="P37" s="171">
        <f>'1º TRIMESTRE'!P37+227678.31</f>
        <v>227678.31</v>
      </c>
      <c r="Q37" s="15" t="str">
        <f>'1º TRIMESTRE'!Q37</f>
        <v>3.3.90.39</v>
      </c>
      <c r="R37" s="16">
        <f>'1º TRIMESTRE'!R37+263701.49</f>
        <v>1025053.12</v>
      </c>
      <c r="S37" s="16">
        <v>263701.49</v>
      </c>
      <c r="T37" s="16">
        <f>'1º TRIMESTRE'!T37+S37</f>
        <v>463900.14</v>
      </c>
      <c r="U37" s="16">
        <f>'1º TRIMESTRE'!U37+S37</f>
        <v>1025053.12</v>
      </c>
      <c r="V37" s="16" t="str">
        <f>'1º TRIMESTRE'!V37</f>
        <v>andamento</v>
      </c>
    </row>
    <row r="38" spans="1:22" s="20" customFormat="1" ht="42.75">
      <c r="A38" s="14" t="str">
        <f>'1º TRIMESTRE'!A38</f>
        <v>CONCORRÊNCIA / nº 17/2020</v>
      </c>
      <c r="B38" s="14" t="str">
        <f>'1º TRIMESTRE'!B38</f>
        <v>CONTRATACAO DOS SERVICOS DE MANUTENCAO E RECUPERACAO DA PAVIMENTACAO NAS VIAS EM PARALELEPIPEDOS CONSTITUINTES DO SISTEMA VIARIO DA CIDADE DO RECIFE. LOTE I - RPA 1</v>
      </c>
      <c r="C38" s="14">
        <f>'1º TRIMESTRE'!C38</f>
        <v>0</v>
      </c>
      <c r="D38" s="14">
        <f>'1º TRIMESTRE'!D38</f>
        <v>0</v>
      </c>
      <c r="E38" s="57">
        <f>'1º TRIMESTRE'!E38</f>
        <v>0</v>
      </c>
      <c r="F38" s="57">
        <f>'1º TRIMESTRE'!F38</f>
        <v>0</v>
      </c>
      <c r="G38" s="14" t="str">
        <f>'1º TRIMESTRE'!G38</f>
        <v>10.811.370/0001-62</v>
      </c>
      <c r="H38" s="14" t="str">
        <f>'1º TRIMESTRE'!H38</f>
        <v>GUERRA CONSTRUCOES LTDA</v>
      </c>
      <c r="I38" s="15" t="str">
        <f>'1º TRIMESTRE'!I38</f>
        <v>6-007/21</v>
      </c>
      <c r="J38" s="160">
        <f>'1º TRIMESTRE'!J38</f>
        <v>44285</v>
      </c>
      <c r="K38" s="15">
        <f>'1º TRIMESTRE'!K38</f>
        <v>760</v>
      </c>
      <c r="L38" s="16">
        <f>'1º TRIMESTRE'!L38</f>
        <v>4242714.5</v>
      </c>
      <c r="M38" s="160">
        <f>'1º TRIMESTRE'!M38</f>
        <v>45045</v>
      </c>
      <c r="N38" s="15">
        <f>'1º TRIMESTRE'!N38</f>
        <v>0</v>
      </c>
      <c r="O38" s="16">
        <f>'1º TRIMESTRE'!O38</f>
        <v>0</v>
      </c>
      <c r="P38" s="171">
        <v>640391.6</v>
      </c>
      <c r="Q38" s="15" t="str">
        <f>'1º TRIMESTRE'!Q38</f>
        <v>3.3.90.39</v>
      </c>
      <c r="R38" s="16">
        <f>'1º TRIMESTRE'!R38+284523.78</f>
        <v>914134.74</v>
      </c>
      <c r="S38" s="16">
        <v>284523.78</v>
      </c>
      <c r="T38" s="16">
        <f>'1º TRIMESTRE'!T38+S38</f>
        <v>284523.78</v>
      </c>
      <c r="U38" s="16">
        <f>'1º TRIMESTRE'!U38+S38</f>
        <v>914134.74</v>
      </c>
      <c r="V38" s="16" t="str">
        <f>'1º TRIMESTRE'!V38</f>
        <v>andamento</v>
      </c>
    </row>
    <row r="39" spans="1:22" ht="42.75">
      <c r="A39" s="14" t="str">
        <f>'1º TRIMESTRE'!A39</f>
        <v>CONCORRÊNCIA / nº 17/2020</v>
      </c>
      <c r="B39" s="14" t="str">
        <f>'1º TRIMESTRE'!B39</f>
        <v>CONTRATACAO DOS SERVICOS DE MANUTENCAO E RECUPERACAO DA PAVIMENTACAO NAS VIAS EM PARALELEPIPEDOS CONSTITUINTES DO SISTEMA VIARIO DA CIDADE DO RECIFE. LOTES II - RPA 2 E 3</v>
      </c>
      <c r="C39" s="14">
        <f>'1º TRIMESTRE'!C39</f>
        <v>0</v>
      </c>
      <c r="D39" s="14">
        <f>'1º TRIMESTRE'!D39</f>
        <v>0</v>
      </c>
      <c r="E39" s="57">
        <f>'1º TRIMESTRE'!E39</f>
        <v>0</v>
      </c>
      <c r="F39" s="57">
        <f>'1º TRIMESTRE'!F39</f>
        <v>0</v>
      </c>
      <c r="G39" s="14" t="str">
        <f>'1º TRIMESTRE'!G39</f>
        <v>07.086.088/0001-55</v>
      </c>
      <c r="H39" s="14" t="str">
        <f>'1º TRIMESTRE'!H39</f>
        <v>SOLO CONSTRUCOES E TERRAPLANAGEM LTDA</v>
      </c>
      <c r="I39" s="15" t="str">
        <f>'1º TRIMESTRE'!I39</f>
        <v>6-008/21</v>
      </c>
      <c r="J39" s="160">
        <f>'1º TRIMESTRE'!J39</f>
        <v>44285</v>
      </c>
      <c r="K39" s="15">
        <f>'1º TRIMESTRE'!K39</f>
        <v>760</v>
      </c>
      <c r="L39" s="16">
        <f>'1º TRIMESTRE'!L39</f>
        <v>5068725.74</v>
      </c>
      <c r="M39" s="160">
        <f>'1º TRIMESTRE'!M39</f>
        <v>45045</v>
      </c>
      <c r="N39" s="15">
        <f>'1º TRIMESTRE'!N39</f>
        <v>0</v>
      </c>
      <c r="O39" s="16">
        <f>'1º TRIMESTRE'!O39</f>
        <v>0</v>
      </c>
      <c r="P39" s="171">
        <f>'1º TRIMESTRE'!P39</f>
        <v>765001.36</v>
      </c>
      <c r="Q39" s="15" t="str">
        <f>'1º TRIMESTRE'!Q39</f>
        <v>3.3.90.39</v>
      </c>
      <c r="R39" s="16">
        <f>'1º TRIMESTRE'!R39+405461.8</f>
        <v>1659744.06</v>
      </c>
      <c r="S39" s="16">
        <v>405461.80000000005</v>
      </c>
      <c r="T39" s="16">
        <f>'1º TRIMESTRE'!T39+S39</f>
        <v>444664.3300000001</v>
      </c>
      <c r="U39" s="16">
        <f>'1º TRIMESTRE'!U39+S39</f>
        <v>1659744.06</v>
      </c>
      <c r="V39" s="16" t="str">
        <f>'1º TRIMESTRE'!V39</f>
        <v>andamento</v>
      </c>
    </row>
    <row r="40" spans="1:22" ht="42.75">
      <c r="A40" s="14" t="str">
        <f>'1º TRIMESTRE'!A40</f>
        <v>concorrência /nº 17/2020</v>
      </c>
      <c r="B40" s="14" t="str">
        <f>'1º TRIMESTRE'!B40</f>
        <v>CONTRATACAO DOS SERVICOS DE MANUTENCAO E RECUPERACAO DA PAVIMENTACAO NAS VIAS EM PARALELEPIPEDOS CONSTITUINTES DO SISTEMA VIARIO DA CIDADE DO RECIFE. LOTES III - RPA 4 E 5</v>
      </c>
      <c r="C40" s="14">
        <f>'1º TRIMESTRE'!C40</f>
        <v>0</v>
      </c>
      <c r="D40" s="14">
        <f>'1º TRIMESTRE'!D40</f>
        <v>0</v>
      </c>
      <c r="E40" s="57">
        <f>'1º TRIMESTRE'!E40</f>
        <v>0</v>
      </c>
      <c r="F40" s="57">
        <f>'1º TRIMESTRE'!F40</f>
        <v>0</v>
      </c>
      <c r="G40" s="14" t="str">
        <f>'1º TRIMESTRE'!G40</f>
        <v>05.625.079/0001-60</v>
      </c>
      <c r="H40" s="14" t="str">
        <f>'1º TRIMESTRE'!H40</f>
        <v>CONSTRUTORA MARDIFI LTDA - EPP </v>
      </c>
      <c r="I40" s="15" t="str">
        <f>'1º TRIMESTRE'!I40</f>
        <v>6-009/21</v>
      </c>
      <c r="J40" s="160">
        <f>'1º TRIMESTRE'!J40</f>
        <v>44285</v>
      </c>
      <c r="K40" s="15">
        <f>'1º TRIMESTRE'!K40</f>
        <v>760</v>
      </c>
      <c r="L40" s="16">
        <f>'1º TRIMESTRE'!L40</f>
        <v>7317745.62</v>
      </c>
      <c r="M40" s="160">
        <f>'1º TRIMESTRE'!M40</f>
        <v>45045</v>
      </c>
      <c r="N40" s="15">
        <f>'1º TRIMESTRE'!N40</f>
        <v>0</v>
      </c>
      <c r="O40" s="16">
        <f>'1º TRIMESTRE'!O40</f>
        <v>132982.7</v>
      </c>
      <c r="P40" s="171">
        <f>'1º TRIMESTRE'!P40</f>
        <v>1257436.68</v>
      </c>
      <c r="Q40" s="15" t="str">
        <f>'1º TRIMESTRE'!Q40</f>
        <v>3.3.90.39</v>
      </c>
      <c r="R40" s="16">
        <f>'1º TRIMESTRE'!R40+208199.71</f>
        <v>1109468.81</v>
      </c>
      <c r="S40" s="16">
        <v>208199.71000000002</v>
      </c>
      <c r="T40" s="16">
        <f>'1º TRIMESTRE'!T40+S40</f>
        <v>208199.71000000002</v>
      </c>
      <c r="U40" s="16">
        <f>'1º TRIMESTRE'!U40+S40</f>
        <v>1109468.81</v>
      </c>
      <c r="V40" s="16" t="str">
        <f>'1º TRIMESTRE'!V40</f>
        <v>andamento</v>
      </c>
    </row>
    <row r="41" spans="1:22" s="26" customFormat="1" ht="42.75">
      <c r="A41" s="14" t="str">
        <f>'1º TRIMESTRE'!A41</f>
        <v>concorrência /nº 17/2020</v>
      </c>
      <c r="B41" s="14" t="str">
        <f>'1º TRIMESTRE'!B41</f>
        <v>CONTRATACAO DOS SERVICOS DE MANUTENCAO E RECUPERACAO DA PAVIMENTACAO NAS VIAS EM PARALELEPIPEDOS CONSTITUINTES DO SISTEMA VIARIO DA CIDADE DO RECIFE. LOTES IV. - RPA 06</v>
      </c>
      <c r="C41" s="14">
        <f>'1º TRIMESTRE'!C41</f>
        <v>0</v>
      </c>
      <c r="D41" s="14">
        <f>'1º TRIMESTRE'!D41</f>
        <v>0</v>
      </c>
      <c r="E41" s="57">
        <f>'1º TRIMESTRE'!E41</f>
        <v>0</v>
      </c>
      <c r="F41" s="57">
        <f>'1º TRIMESTRE'!F41</f>
        <v>0</v>
      </c>
      <c r="G41" s="14" t="str">
        <f>'1º TRIMESTRE'!G41</f>
        <v>10.811.370/0001-62</v>
      </c>
      <c r="H41" s="14" t="str">
        <f>'1º TRIMESTRE'!H41</f>
        <v>GUERRA CONSTRUCOES LTDA</v>
      </c>
      <c r="I41" s="15" t="str">
        <f>'1º TRIMESTRE'!I41</f>
        <v>6-010/21</v>
      </c>
      <c r="J41" s="160">
        <f>'1º TRIMESTRE'!J41</f>
        <v>44285</v>
      </c>
      <c r="K41" s="15">
        <f>'1º TRIMESTRE'!K41</f>
        <v>760</v>
      </c>
      <c r="L41" s="16">
        <f>'1º TRIMESTRE'!L41</f>
        <v>6534905.35</v>
      </c>
      <c r="M41" s="160">
        <f>'1º TRIMESTRE'!M41</f>
        <v>45045</v>
      </c>
      <c r="N41" s="15">
        <f>'1º TRIMESTRE'!N41</f>
        <v>0</v>
      </c>
      <c r="O41" s="16">
        <f>'1º TRIMESTRE'!O41+920507.45</f>
        <v>920507.45</v>
      </c>
      <c r="P41" s="171">
        <v>986199.95</v>
      </c>
      <c r="Q41" s="15" t="str">
        <f>'1º TRIMESTRE'!Q41</f>
        <v>3.3.90.39</v>
      </c>
      <c r="R41" s="16">
        <f>'1º TRIMESTRE'!R41+488839.32</f>
        <v>2417751.1199999996</v>
      </c>
      <c r="S41" s="16">
        <v>488839.32000000007</v>
      </c>
      <c r="T41" s="16">
        <f>'1º TRIMESTRE'!T41+S41</f>
        <v>815494.4500000001</v>
      </c>
      <c r="U41" s="16">
        <f>'1º TRIMESTRE'!U41+S41</f>
        <v>2417751.12</v>
      </c>
      <c r="V41" s="16" t="str">
        <f>'1º TRIMESTRE'!V41</f>
        <v>andamento</v>
      </c>
    </row>
    <row r="42" spans="1:22" ht="42.75">
      <c r="A42" s="14" t="str">
        <f>'1º TRIMESTRE'!A42</f>
        <v>INEX 9/2021</v>
      </c>
      <c r="B42" s="14" t="str">
        <f>'1º TRIMESTRE'!B42</f>
        <v>CONTRATACAO DOS SERVICOS DE MANUTENCAO PREVENTIVA DO SISTEMA DE MACRODRENAGEM PELO PROCESSO DE BARRAGEM MOVEL EM DIVERSOS CANAIS DA CIDADE DO RECIFE</v>
      </c>
      <c r="C42" s="14">
        <f>'1º TRIMESTRE'!C42</f>
        <v>0</v>
      </c>
      <c r="D42" s="14">
        <f>'1º TRIMESTRE'!D42</f>
        <v>0</v>
      </c>
      <c r="E42" s="57">
        <f>'1º TRIMESTRE'!E42</f>
        <v>0</v>
      </c>
      <c r="F42" s="57">
        <f>'1º TRIMESTRE'!F42</f>
        <v>0</v>
      </c>
      <c r="G42" s="14" t="str">
        <f>'1º TRIMESTRE'!G42</f>
        <v>03.366.083/0001-25</v>
      </c>
      <c r="H42" s="14" t="str">
        <f>'1º TRIMESTRE'!H42</f>
        <v>HIDROMAX CONSTRUÇOES LTDA</v>
      </c>
      <c r="I42" s="15" t="str">
        <f>'1º TRIMESTRE'!I42</f>
        <v>6-012/21</v>
      </c>
      <c r="J42" s="160">
        <f>'1º TRIMESTRE'!J42</f>
        <v>44354</v>
      </c>
      <c r="K42" s="15">
        <f>'1º TRIMESTRE'!K42</f>
        <v>760</v>
      </c>
      <c r="L42" s="16">
        <f>'1º TRIMESTRE'!L42</f>
        <v>1940544.76</v>
      </c>
      <c r="M42" s="160">
        <f>'1º TRIMESTRE'!M42</f>
        <v>45114</v>
      </c>
      <c r="N42" s="15">
        <f>'1º TRIMESTRE'!N42</f>
        <v>0</v>
      </c>
      <c r="O42" s="16">
        <f>'1º TRIMESTRE'!O42</f>
        <v>27154</v>
      </c>
      <c r="P42" s="171">
        <f>'1º TRIMESTRE'!P42</f>
        <v>0</v>
      </c>
      <c r="Q42" s="15" t="str">
        <f>'1º TRIMESTRE'!Q42</f>
        <v>3.3.90.39</v>
      </c>
      <c r="R42" s="16">
        <f>'1º TRIMESTRE'!R42+475552.12</f>
        <v>1005980.46</v>
      </c>
      <c r="S42" s="16">
        <v>475552.12</v>
      </c>
      <c r="T42" s="16">
        <f>'1º TRIMESTRE'!T42+S42</f>
        <v>671138.95</v>
      </c>
      <c r="U42" s="16">
        <f>'1º TRIMESTRE'!U42+S42</f>
        <v>1005980.46</v>
      </c>
      <c r="V42" s="16" t="str">
        <f>'1º TRIMESTRE'!V42</f>
        <v>andamento</v>
      </c>
    </row>
    <row r="43" spans="1:22" ht="53.25">
      <c r="A43" s="14" t="str">
        <f>'1º TRIMESTRE'!A43</f>
        <v>concorrência /nº 001/2021</v>
      </c>
      <c r="B43" s="14" t="str">
        <f>'1º TRIMESTRE'!B43</f>
        <v>CONTRATACAO DE EMPRESA DE ENGENHARIA ESPECIALIZADA. PARA A OPERACAO. AUTOMACAO E MANUTENCAO ELETRICA E MECANICA DAS ESTACOES DE BOMBEAMENTO E COMPORTAS DA CIDADE DO RECIFE</v>
      </c>
      <c r="C43" s="14">
        <f>'1º TRIMESTRE'!C43</f>
        <v>0</v>
      </c>
      <c r="D43" s="14">
        <f>'1º TRIMESTRE'!D43</f>
        <v>0</v>
      </c>
      <c r="E43" s="57">
        <f>'1º TRIMESTRE'!E43</f>
        <v>0</v>
      </c>
      <c r="F43" s="57">
        <f>'1º TRIMESTRE'!F43</f>
        <v>0</v>
      </c>
      <c r="G43" s="14" t="str">
        <f>'1º TRIMESTRE'!G43</f>
        <v>41.116.138/0001-38</v>
      </c>
      <c r="H43" s="14" t="str">
        <f>'1º TRIMESTRE'!H43</f>
        <v>REAL ENERGY LTDA</v>
      </c>
      <c r="I43" s="15" t="str">
        <f>'1º TRIMESTRE'!I43</f>
        <v>6-014/21</v>
      </c>
      <c r="J43" s="160">
        <f>'1º TRIMESTRE'!J43</f>
        <v>44347</v>
      </c>
      <c r="K43" s="15">
        <f>'1º TRIMESTRE'!K43</f>
        <v>790</v>
      </c>
      <c r="L43" s="16">
        <f>'1º TRIMESTRE'!L43</f>
        <v>3652773.14</v>
      </c>
      <c r="M43" s="160">
        <f>'1º TRIMESTRE'!M43</f>
        <v>45137</v>
      </c>
      <c r="N43" s="15">
        <f>'1º TRIMESTRE'!N43</f>
        <v>0</v>
      </c>
      <c r="O43" s="16">
        <f>'1º TRIMESTRE'!O43</f>
        <v>0</v>
      </c>
      <c r="P43" s="171">
        <f>'1º TRIMESTRE'!P43</f>
        <v>0</v>
      </c>
      <c r="Q43" s="15" t="str">
        <f>'1º TRIMESTRE'!Q43</f>
        <v>3.3.90.39</v>
      </c>
      <c r="R43" s="16">
        <f>'1º TRIMESTRE'!R43+328964.1</f>
        <v>1360291.69</v>
      </c>
      <c r="S43" s="16">
        <v>328964.1</v>
      </c>
      <c r="T43" s="16">
        <f>'1º TRIMESTRE'!T43+S43</f>
        <v>622939.31</v>
      </c>
      <c r="U43" s="16">
        <f>'1º TRIMESTRE'!U43+S43</f>
        <v>1360291.69</v>
      </c>
      <c r="V43" s="16" t="str">
        <f>'1º TRIMESTRE'!V43</f>
        <v>andamento</v>
      </c>
    </row>
    <row r="44" spans="1:22" ht="31.5">
      <c r="A44" s="14" t="str">
        <f>'1º TRIMESTRE'!A44</f>
        <v>concorrência /nº 015/2020</v>
      </c>
      <c r="B44" s="14" t="str">
        <f>'1º TRIMESTRE'!B44</f>
        <v>SERVIÇOS DE RECUPERAÇÃO DE VIAS URBANAS PAVIMENTAS EM CONCRETO DE CIMENTO PORTLAND EM TRECHOS DE VIAS NAS RPA'S 1 A 6</v>
      </c>
      <c r="C44" s="14">
        <f>'1º TRIMESTRE'!C44</f>
        <v>0</v>
      </c>
      <c r="D44" s="14">
        <f>'1º TRIMESTRE'!D44</f>
        <v>0</v>
      </c>
      <c r="E44" s="57">
        <f>'1º TRIMESTRE'!E44</f>
        <v>0</v>
      </c>
      <c r="F44" s="57">
        <f>'1º TRIMESTRE'!F44</f>
        <v>0</v>
      </c>
      <c r="G44" s="14" t="str">
        <f>'1º TRIMESTRE'!G44</f>
        <v>00.338.885/0001-33</v>
      </c>
      <c r="H44" s="14" t="str">
        <f>'1º TRIMESTRE'!H44</f>
        <v>NOVATEC CONSTRUCOES E EMPREENDIMENTOS LTDA</v>
      </c>
      <c r="I44" s="15" t="str">
        <f>'1º TRIMESTRE'!I44</f>
        <v>6-015/21</v>
      </c>
      <c r="J44" s="160">
        <f>'1º TRIMESTRE'!J44</f>
        <v>44363</v>
      </c>
      <c r="K44" s="15">
        <f>'1º TRIMESTRE'!K44</f>
        <v>790</v>
      </c>
      <c r="L44" s="16">
        <f>'1º TRIMESTRE'!L44</f>
        <v>8412130.06</v>
      </c>
      <c r="M44" s="160">
        <f>'1º TRIMESTRE'!M44</f>
        <v>45153</v>
      </c>
      <c r="N44" s="15">
        <f>'1º TRIMESTRE'!N44</f>
        <v>0</v>
      </c>
      <c r="O44" s="16">
        <f>'1º TRIMESTRE'!O44+1027590.58</f>
        <v>1027590.58</v>
      </c>
      <c r="P44" s="171">
        <f>'1º TRIMESTRE'!P44</f>
        <v>0</v>
      </c>
      <c r="Q44" s="15" t="str">
        <f>'1º TRIMESTRE'!Q44</f>
        <v>3.3.90.39</v>
      </c>
      <c r="R44" s="16">
        <f>'1º TRIMESTRE'!R44+1167829.4</f>
        <v>3629560.6</v>
      </c>
      <c r="S44" s="16">
        <v>509762.23</v>
      </c>
      <c r="T44" s="16">
        <f>'1º TRIMESTRE'!T44+S44</f>
        <v>1512727.68</v>
      </c>
      <c r="U44" s="16">
        <f>'1º TRIMESTRE'!U44+S44</f>
        <v>2971493.43</v>
      </c>
      <c r="V44" s="16" t="str">
        <f>'1º TRIMESTRE'!V44</f>
        <v>andamento</v>
      </c>
    </row>
    <row r="45" spans="1:22" ht="31.5">
      <c r="A45" s="14" t="str">
        <f>'1º TRIMESTRE'!A45</f>
        <v>concorrência /nº 004/2021</v>
      </c>
      <c r="B45" s="14" t="str">
        <f>'1º TRIMESTRE'!B45</f>
        <v>RECUPERAÇÃO DE PASSEIOS COM IMPLANTAÇÃO DE ACESSIBILIDADE EM VARIAS VIAS E LOCAIS DO RECIFE</v>
      </c>
      <c r="C45" s="14" t="str">
        <f>'1º TRIMESTRE'!C45</f>
        <v>535346/2020</v>
      </c>
      <c r="D45" s="14" t="str">
        <f>'1º TRIMESTRE'!D45</f>
        <v>FINISA</v>
      </c>
      <c r="E45" s="57">
        <f>'1º TRIMESTRE'!E45</f>
        <v>94508747.5</v>
      </c>
      <c r="F45" s="57">
        <f>'1º TRIMESTRE'!F45</f>
        <v>0</v>
      </c>
      <c r="G45" s="14" t="str">
        <f>'1º TRIMESTRE'!G45</f>
        <v>03.608.944/0001-34</v>
      </c>
      <c r="H45" s="14" t="str">
        <f>'1º TRIMESTRE'!H45</f>
        <v>JEPAC CONSTRUCOES LTDA</v>
      </c>
      <c r="I45" s="15" t="str">
        <f>'1º TRIMESTRE'!I45</f>
        <v>6-018/21</v>
      </c>
      <c r="J45" s="160">
        <f>'1º TRIMESTRE'!J45</f>
        <v>44361</v>
      </c>
      <c r="K45" s="15">
        <f>'1º TRIMESTRE'!K45</f>
        <v>790</v>
      </c>
      <c r="L45" s="16">
        <f>'1º TRIMESTRE'!L45</f>
        <v>6770337.14</v>
      </c>
      <c r="M45" s="160">
        <f>'1º TRIMESTRE'!M45</f>
        <v>45151</v>
      </c>
      <c r="N45" s="15">
        <f>'1º TRIMESTRE'!N45</f>
        <v>0</v>
      </c>
      <c r="O45" s="16">
        <f>'1º TRIMESTRE'!O45</f>
        <v>0</v>
      </c>
      <c r="P45" s="171">
        <f>'1º TRIMESTRE'!P45</f>
        <v>0</v>
      </c>
      <c r="Q45" s="15" t="str">
        <f>'1º TRIMESTRE'!Q45</f>
        <v>3.3.90.39</v>
      </c>
      <c r="R45" s="16">
        <f>'1º TRIMESTRE'!R45+509301.34</f>
        <v>2061477.08</v>
      </c>
      <c r="S45" s="16">
        <v>242978.53</v>
      </c>
      <c r="T45" s="16">
        <f>'1º TRIMESTRE'!T45+S45</f>
        <v>596846.35</v>
      </c>
      <c r="U45" s="16">
        <f>'1º TRIMESTRE'!U45+S45</f>
        <v>1795154.2700000003</v>
      </c>
      <c r="V45" s="16" t="str">
        <f>'1º TRIMESTRE'!V45</f>
        <v>andamento</v>
      </c>
    </row>
    <row r="46" spans="1:22" ht="63.75">
      <c r="A46" s="14" t="str">
        <f>'1º TRIMESTRE'!A46</f>
        <v>CONCORRÊNCIA Licitação: 2/2021</v>
      </c>
      <c r="B46" s="14" t="str">
        <f>'1º TRIMESTRE'!B46</f>
        <v>RECUPERACAO DE ESCADARIAS. MUROS E CORRIMOES LOCALIZADAS NAS DIVERSAS NAS DIVERSAS REGIAO POLITICA ADMINISTRATIVA RPAS DA CIDADE DO RECIFE. DIVIDIDAS EM EM LOTES. LOTE I RPA 2; LOTE II RPA 3 E LOTE III RPA 4.5.6</v>
      </c>
      <c r="C46" s="14" t="str">
        <f>'1º TRIMESTRE'!C46</f>
        <v>535346/2020 e 599406/2021</v>
      </c>
      <c r="D46" s="14" t="str">
        <f>'1º TRIMESTRE'!D46</f>
        <v>FINISA</v>
      </c>
      <c r="E46" s="57">
        <f>'1º TRIMESTRE'!E46</f>
        <v>113346677.56</v>
      </c>
      <c r="F46" s="57">
        <f>'1º TRIMESTRE'!F46</f>
        <v>0</v>
      </c>
      <c r="G46" s="14" t="str">
        <f>'1º TRIMESTRE'!G46</f>
        <v>11.523.068/0001-71</v>
      </c>
      <c r="H46" s="14" t="str">
        <f>'1º TRIMESTRE'!H46</f>
        <v>CONSTRUTORA FAELLA LTDA EPP</v>
      </c>
      <c r="I46" s="15" t="str">
        <f>'1º TRIMESTRE'!I46</f>
        <v>6-021/21</v>
      </c>
      <c r="J46" s="160">
        <f>'1º TRIMESTRE'!J46</f>
        <v>44365</v>
      </c>
      <c r="K46" s="15">
        <f>'1º TRIMESTRE'!K46</f>
        <v>790</v>
      </c>
      <c r="L46" s="16">
        <f>'1º TRIMESTRE'!L46</f>
        <v>6226475.18</v>
      </c>
      <c r="M46" s="160">
        <f>'1º TRIMESTRE'!M46</f>
        <v>45155</v>
      </c>
      <c r="N46" s="15">
        <f>'1º TRIMESTRE'!N46</f>
        <v>0</v>
      </c>
      <c r="O46" s="16">
        <f>'1º TRIMESTRE'!O46</f>
        <v>0</v>
      </c>
      <c r="P46" s="171">
        <f>'1º TRIMESTRE'!P46</f>
        <v>0</v>
      </c>
      <c r="Q46" s="15" t="str">
        <f>'1º TRIMESTRE'!Q46</f>
        <v>3.3.90.39</v>
      </c>
      <c r="R46" s="16">
        <f>'1º TRIMESTRE'!R46+249867.95</f>
        <v>2390932.49</v>
      </c>
      <c r="S46" s="16">
        <v>249867.95</v>
      </c>
      <c r="T46" s="16">
        <f>'1º TRIMESTRE'!T46+S46</f>
        <v>807919.01</v>
      </c>
      <c r="U46" s="16">
        <f>'1º TRIMESTRE'!U46+S46</f>
        <v>2390932.49</v>
      </c>
      <c r="V46" s="16" t="str">
        <f>'1º TRIMESTRE'!V46</f>
        <v>andamento</v>
      </c>
    </row>
    <row r="47" spans="1:22" ht="63.75">
      <c r="A47" s="14" t="str">
        <f>'1º TRIMESTRE'!A47</f>
        <v>CONCORRÊNCIA Licitação: 2/2021</v>
      </c>
      <c r="B47" s="14" t="str">
        <f>'1º TRIMESTRE'!B47</f>
        <v>RECUPERACAO DE ESCADARIAS. MUROS E CORRIMOES LOCALIZADAS NAS DIVERSAS NAS DIVERSAS REGIAO POLITICA ADMINISTRATIVA RPAS DA CIDADE DO RECIFE. DIVIDIDAS EM EM LOTES. LOTE I RPA 2; LOTE II RPA 3 E LOTE III RPA 4.5.6</v>
      </c>
      <c r="C47" s="14" t="str">
        <f>'1º TRIMESTRE'!C47</f>
        <v>535346/2020 e 599406/2021</v>
      </c>
      <c r="D47" s="14" t="str">
        <f>'1º TRIMESTRE'!D47</f>
        <v>FINISA</v>
      </c>
      <c r="E47" s="57">
        <f>'1º TRIMESTRE'!E47</f>
        <v>113346677.56</v>
      </c>
      <c r="F47" s="57">
        <f>'1º TRIMESTRE'!F47</f>
        <v>0</v>
      </c>
      <c r="G47" s="14" t="str">
        <f>'1º TRIMESTRE'!G47</f>
        <v>07.693.988/0001-60</v>
      </c>
      <c r="H47" s="14" t="str">
        <f>'1º TRIMESTRE'!H47</f>
        <v>F R F ENGENHARIA LTDA</v>
      </c>
      <c r="I47" s="15" t="str">
        <f>'1º TRIMESTRE'!I47</f>
        <v>6-022/21</v>
      </c>
      <c r="J47" s="160">
        <f>'1º TRIMESTRE'!J47</f>
        <v>44365</v>
      </c>
      <c r="K47" s="15">
        <f>'1º TRIMESTRE'!K47</f>
        <v>790</v>
      </c>
      <c r="L47" s="16">
        <f>'1º TRIMESTRE'!L47</f>
        <v>9358982.33</v>
      </c>
      <c r="M47" s="160">
        <f>'1º TRIMESTRE'!M47</f>
        <v>45155</v>
      </c>
      <c r="N47" s="15">
        <f>'1º TRIMESTRE'!N47</f>
        <v>0</v>
      </c>
      <c r="O47" s="16">
        <f>'1º TRIMESTRE'!O47+592398.6</f>
        <v>592398.6</v>
      </c>
      <c r="P47" s="171">
        <f>'1º TRIMESTRE'!P47</f>
        <v>0</v>
      </c>
      <c r="Q47" s="15" t="str">
        <f>'1º TRIMESTRE'!Q47</f>
        <v>3.3.90.39</v>
      </c>
      <c r="R47" s="16">
        <f>'1º TRIMESTRE'!R47+561209.73</f>
        <v>3779407.73</v>
      </c>
      <c r="S47" s="16">
        <v>489037.86</v>
      </c>
      <c r="T47" s="16">
        <f>'1º TRIMESTRE'!T47+S47</f>
        <v>2129862.66</v>
      </c>
      <c r="U47" s="16">
        <f>'1º TRIMESTRE'!U47+S47</f>
        <v>3707235.86</v>
      </c>
      <c r="V47" s="16" t="str">
        <f>'1º TRIMESTRE'!V47</f>
        <v>andamento</v>
      </c>
    </row>
    <row r="48" spans="1:22" ht="63.75">
      <c r="A48" s="14" t="str">
        <f>'1º TRIMESTRE'!A48</f>
        <v>CONCORRÊNCIA Licitação: 2/2021</v>
      </c>
      <c r="B48" s="14" t="str">
        <f>'1º TRIMESTRE'!B48</f>
        <v>RECUPERACAO DE ESCADARIAS. MUROS E CORRIMOES LOCALIZADAS NAS DIVERSAS NAS DIVERSAS REGIAO POLITICA ADMINISTRATIVA RPAS DA CIDADE DO RECIFE. DIVIDIDAS EM EM LOTES. LOTE I RPA 2; LOTE II RPA 3 E LOTE III RPA 4.5.6</v>
      </c>
      <c r="C48" s="14" t="str">
        <f>'1º TRIMESTRE'!C48</f>
        <v>535346/2020 e 599406/2021</v>
      </c>
      <c r="D48" s="14" t="str">
        <f>'1º TRIMESTRE'!D48</f>
        <v>FINISA</v>
      </c>
      <c r="E48" s="57">
        <f>'1º TRIMESTRE'!E48</f>
        <v>113346677.56</v>
      </c>
      <c r="F48" s="57">
        <f>'1º TRIMESTRE'!F48</f>
        <v>0</v>
      </c>
      <c r="G48" s="14" t="str">
        <f>'1º TRIMESTRE'!G48</f>
        <v>10.811.370/0001-62</v>
      </c>
      <c r="H48" s="14" t="str">
        <f>'1º TRIMESTRE'!H48</f>
        <v>GUERRA CONSTRUCOES LTDA</v>
      </c>
      <c r="I48" s="179" t="str">
        <f>'1º TRIMESTRE'!I48</f>
        <v>6-023/21</v>
      </c>
      <c r="J48" s="160">
        <f>'1º TRIMESTRE'!J48</f>
        <v>44365</v>
      </c>
      <c r="K48" s="15">
        <f>'1º TRIMESTRE'!K48</f>
        <v>790</v>
      </c>
      <c r="L48" s="16">
        <f>'1º TRIMESTRE'!L48</f>
        <v>7403917.66</v>
      </c>
      <c r="M48" s="160">
        <f>'1º TRIMESTRE'!M48</f>
        <v>45155</v>
      </c>
      <c r="N48" s="15">
        <f>'1º TRIMESTRE'!N48</f>
        <v>0</v>
      </c>
      <c r="O48" s="16">
        <f>'1º TRIMESTRE'!O48+266505</f>
        <v>266505</v>
      </c>
      <c r="P48" s="171">
        <f>'1º TRIMESTRE'!P48</f>
        <v>0</v>
      </c>
      <c r="Q48" s="15" t="str">
        <f>'1º TRIMESTRE'!Q48</f>
        <v>3.3.90.39</v>
      </c>
      <c r="R48" s="178">
        <f>'1º TRIMESTRE'!R48+1475919.85</f>
        <v>4671583.34</v>
      </c>
      <c r="S48" s="16">
        <v>284450.9</v>
      </c>
      <c r="T48" s="16">
        <f>'1º TRIMESTRE'!T48+S48</f>
        <v>1172069.32</v>
      </c>
      <c r="U48" s="16">
        <f>'1º TRIMESTRE'!U48+S48</f>
        <v>3445689.67</v>
      </c>
      <c r="V48" s="16" t="str">
        <f>'1º TRIMESTRE'!V48</f>
        <v>andamento</v>
      </c>
    </row>
    <row r="49" spans="1:22" ht="63.75">
      <c r="A49" s="14" t="str">
        <f>'1º TRIMESTRE'!A49</f>
        <v>CONCORRÊNCIA Licitação: 18/2020</v>
      </c>
      <c r="B49" s="14" t="str">
        <f>'1º TRIMESTRE'!B49</f>
        <v>CONTRATACAO DE SERVICOS DE MANUTENCAO PREVENTIVA IMPLANTACAO. REQUALIFICACAO E OU RECAPEAMENTO DE VIAS EM CONCRETO BETUMINOSO USINADO A QUENTE CBUQ DO SISTEMA VIARIO DA CIDADE DO RECIFE LOTE I RPA 1</v>
      </c>
      <c r="C49" s="14" t="str">
        <f>'1º TRIMESTRE'!C49</f>
        <v>535346/2020  e 599406/2021 e 01/2020</v>
      </c>
      <c r="D49" s="14" t="str">
        <f>'1º TRIMESTRE'!D49</f>
        <v>FINISA e CTTU</v>
      </c>
      <c r="E49" s="57">
        <f>'1º TRIMESTRE'!E49</f>
        <v>139865458.63</v>
      </c>
      <c r="F49" s="57">
        <f>'1º TRIMESTRE'!F49</f>
        <v>0</v>
      </c>
      <c r="G49" s="14" t="str">
        <f>'1º TRIMESTRE'!G49</f>
        <v>40.882.060/0001-08</v>
      </c>
      <c r="H49" s="14" t="str">
        <f>'1º TRIMESTRE'!H49</f>
        <v>LIDERMAC CONSTRUCOES E EQUIPAMENTOS LTDA</v>
      </c>
      <c r="I49" s="179" t="str">
        <f>'1º TRIMESTRE'!I49</f>
        <v>6-024/21</v>
      </c>
      <c r="J49" s="160">
        <f>'1º TRIMESTRE'!J49</f>
        <v>44370</v>
      </c>
      <c r="K49" s="15">
        <f>'1º TRIMESTRE'!K49</f>
        <v>760</v>
      </c>
      <c r="L49" s="16">
        <f>'1º TRIMESTRE'!L49</f>
        <v>16439785.83</v>
      </c>
      <c r="M49" s="160">
        <f>'1º TRIMESTRE'!M49</f>
        <v>45130</v>
      </c>
      <c r="N49" s="15">
        <f>'1º TRIMESTRE'!N49</f>
        <v>0</v>
      </c>
      <c r="O49" s="16">
        <f>'1º TRIMESTRE'!O49</f>
        <v>0</v>
      </c>
      <c r="P49" s="180">
        <f>'1º TRIMESTRE'!P49+2115003.8</f>
        <v>3939330.3999999994</v>
      </c>
      <c r="Q49" s="15" t="str">
        <f>'1º TRIMESTRE'!Q49</f>
        <v>4.4.90.39</v>
      </c>
      <c r="R49" s="178">
        <f>'1º TRIMESTRE'!R49+39221.51</f>
        <v>4978669.89</v>
      </c>
      <c r="S49" s="16">
        <v>39221.51</v>
      </c>
      <c r="T49" s="16">
        <f>'1º TRIMESTRE'!T49+S49</f>
        <v>39221.51</v>
      </c>
      <c r="U49" s="16">
        <f>'1º TRIMESTRE'!U49+S49</f>
        <v>4978669.89</v>
      </c>
      <c r="V49" s="16" t="str">
        <f>'1º TRIMESTRE'!V49</f>
        <v>andamento</v>
      </c>
    </row>
    <row r="50" spans="1:22" ht="63.75">
      <c r="A50" s="14" t="str">
        <f>'1º TRIMESTRE'!A50</f>
        <v>CONCORRÊNCIA Licitação: 18/2020</v>
      </c>
      <c r="B50" s="14" t="str">
        <f>'1º TRIMESTRE'!B50</f>
        <v>CONTRATACAO DE SERVICOS DE MANUTENCAO PREVENTIVA IMPLANTACAO. REQUALIFICACAO E OU RECAPEAMENTO DE VIAS EM CONCRETO BETUMINOSO USINADO A QUENTE CBUQ DO SISTEMA VIARIO DA CIDADE DO RECIFE LOTE II RPA 2 E 3</v>
      </c>
      <c r="C50" s="14" t="str">
        <f>'1º TRIMESTRE'!C50</f>
        <v>535346/2020  e 599406/2021 e 01/2020</v>
      </c>
      <c r="D50" s="14" t="str">
        <f>'1º TRIMESTRE'!D50</f>
        <v>FINISA e CTTU</v>
      </c>
      <c r="E50" s="57">
        <f>'1º TRIMESTRE'!E50</f>
        <v>139865458.63</v>
      </c>
      <c r="F50" s="57">
        <f>'1º TRIMESTRE'!F50</f>
        <v>0</v>
      </c>
      <c r="G50" s="14" t="str">
        <f>'1º TRIMESTRE'!G50</f>
        <v>00.999.591/0001-52</v>
      </c>
      <c r="H50" s="14" t="str">
        <f>'1º TRIMESTRE'!H50</f>
        <v>AGC CONSTRUTORA E EMPREENDIMENTOS LTDA      </v>
      </c>
      <c r="I50" s="15" t="str">
        <f>'1º TRIMESTRE'!I50</f>
        <v>6-025/21</v>
      </c>
      <c r="J50" s="160">
        <f>'1º TRIMESTRE'!J50</f>
        <v>44370</v>
      </c>
      <c r="K50" s="15">
        <f>'1º TRIMESTRE'!K50</f>
        <v>760</v>
      </c>
      <c r="L50" s="16">
        <f>'1º TRIMESTRE'!L50</f>
        <v>16994062.08</v>
      </c>
      <c r="M50" s="160">
        <f>'1º TRIMESTRE'!M50</f>
        <v>45130</v>
      </c>
      <c r="N50" s="15">
        <f>'1º TRIMESTRE'!N50</f>
        <v>0</v>
      </c>
      <c r="O50" s="16">
        <f>'1º TRIMESTRE'!O50+135539.08</f>
        <v>1298615.08</v>
      </c>
      <c r="P50" s="171">
        <v>2523683.51</v>
      </c>
      <c r="Q50" s="15" t="str">
        <f>'1º TRIMESTRE'!Q50</f>
        <v>4.4.90.39</v>
      </c>
      <c r="R50" s="16">
        <f>'1º TRIMESTRE'!R50+3137071.05</f>
        <v>13931014.629999999</v>
      </c>
      <c r="S50" s="16">
        <f>2926194.77+1186563.38</f>
        <v>4112758.15</v>
      </c>
      <c r="T50" s="16">
        <f>'1º TRIMESTRE'!T50+S50</f>
        <v>5237216.89</v>
      </c>
      <c r="U50" s="16">
        <f>'1º TRIMESTRE'!U50+S50</f>
        <v>13094698.33</v>
      </c>
      <c r="V50" s="16" t="str">
        <f>'1º TRIMESTRE'!V50</f>
        <v>andamento</v>
      </c>
    </row>
    <row r="51" spans="1:22" ht="63.75">
      <c r="A51" s="14" t="str">
        <f>'1º TRIMESTRE'!A51</f>
        <v>CONCORRÊNCIA Licitação: 18/2020</v>
      </c>
      <c r="B51" s="14" t="str">
        <f>'1º TRIMESTRE'!B51</f>
        <v>CONTRATACAO DE SERVICOS DE MANUTENCAO PREVENTIVA IMPLANTACAO. REQUALIFICACAO E OU RECAPEAMENTO DE VIAS EM CONCRETO BETUMINOSO USINADO A QUENTE CBUQ DO SISTEMA VIARIO DA CIDADE DO RECIFE LOTES III RPA 4 E 5</v>
      </c>
      <c r="C51" s="14" t="str">
        <f>'1º TRIMESTRE'!C51</f>
        <v>535346/2020  e 599406/2021 e 01/2020</v>
      </c>
      <c r="D51" s="14" t="str">
        <f>'1º TRIMESTRE'!D51</f>
        <v>FINISA e CTTU</v>
      </c>
      <c r="E51" s="57">
        <f>'1º TRIMESTRE'!E51</f>
        <v>139865458.63</v>
      </c>
      <c r="F51" s="57">
        <f>'1º TRIMESTRE'!F51</f>
        <v>0</v>
      </c>
      <c r="G51" s="14" t="str">
        <f>'1º TRIMESTRE'!G51</f>
        <v>23.742.620/0001-00</v>
      </c>
      <c r="H51" s="14" t="str">
        <f>'1º TRIMESTRE'!H51</f>
        <v>INSTTALE ENGENHARIA LTDA</v>
      </c>
      <c r="I51" s="15" t="str">
        <f>'1º TRIMESTRE'!I51</f>
        <v>6-026/21</v>
      </c>
      <c r="J51" s="160">
        <f>'1º TRIMESTRE'!J51</f>
        <v>44370</v>
      </c>
      <c r="K51" s="15">
        <f>'1º TRIMESTRE'!K51</f>
        <v>760</v>
      </c>
      <c r="L51" s="16">
        <f>'1º TRIMESTRE'!L51</f>
        <v>21157084.25</v>
      </c>
      <c r="M51" s="160">
        <f>'1º TRIMESTRE'!M51</f>
        <v>45130</v>
      </c>
      <c r="N51" s="15">
        <f>'1º TRIMESTRE'!N51</f>
        <v>0</v>
      </c>
      <c r="O51" s="16">
        <f>'1º TRIMESTRE'!O51</f>
        <v>4678660.85</v>
      </c>
      <c r="P51" s="171">
        <f>'1º TRIMESTRE'!P51</f>
        <v>0</v>
      </c>
      <c r="Q51" s="15" t="str">
        <f>'1º TRIMESTRE'!Q51</f>
        <v>4.4.90.39</v>
      </c>
      <c r="R51" s="16">
        <f>'1º TRIMESTRE'!R51+2349330.69</f>
        <v>14969263.53</v>
      </c>
      <c r="S51" s="16">
        <v>2728042.5900000003</v>
      </c>
      <c r="T51" s="16">
        <f>'1º TRIMESTRE'!T51+S51</f>
        <v>4330334.260000001</v>
      </c>
      <c r="U51" s="16">
        <f>'1º TRIMESTRE'!U51+S51</f>
        <v>14173976.059999999</v>
      </c>
      <c r="V51" s="16" t="str">
        <f>'1º TRIMESTRE'!V51</f>
        <v>andamento</v>
      </c>
    </row>
    <row r="52" spans="1:22" ht="63.75">
      <c r="A52" s="14" t="str">
        <f>'1º TRIMESTRE'!A52</f>
        <v>CONCORRÊNCIA Licitação: 18/2020</v>
      </c>
      <c r="B52" s="14" t="str">
        <f>'1º TRIMESTRE'!B52</f>
        <v>CONTRATACAO DE SERVICOS DE MANUTENCAO PREVENTIVA IMPLANTACAO. REQUALIFICACAO E OU RECAPEAMENTO DE VIAS EM CONCRETO BETUMINOSO USINADO A QUENTE CBUQ DO SISTEMA VIARIO DA CIDADE DO RECIFE LOTE IV RPA 6</v>
      </c>
      <c r="C52" s="14" t="str">
        <f>'1º TRIMESTRE'!C52</f>
        <v>535346/2020  e 599406/2021 e 01/2020</v>
      </c>
      <c r="D52" s="14" t="str">
        <f>'1º TRIMESTRE'!D52</f>
        <v>FINISA e CTTU</v>
      </c>
      <c r="E52" s="57">
        <f>'1º TRIMESTRE'!E52</f>
        <v>139865458.63</v>
      </c>
      <c r="F52" s="57">
        <f>'1º TRIMESTRE'!F52</f>
        <v>0</v>
      </c>
      <c r="G52" s="14" t="str">
        <f>'1º TRIMESTRE'!G52</f>
        <v>40.882.060/0001-08</v>
      </c>
      <c r="H52" s="14" t="str">
        <f>'1º TRIMESTRE'!H52</f>
        <v>LIDERMAC CONSTRUCOES E EQUIPAMENTOS LTDA</v>
      </c>
      <c r="I52" s="15" t="str">
        <f>'1º TRIMESTRE'!I52</f>
        <v>6-027/21</v>
      </c>
      <c r="J52" s="160">
        <f>'1º TRIMESTRE'!J52</f>
        <v>44370</v>
      </c>
      <c r="K52" s="15">
        <f>'1º TRIMESTRE'!K52</f>
        <v>760</v>
      </c>
      <c r="L52" s="16">
        <f>'1º TRIMESTRE'!L52</f>
        <v>17242398.46</v>
      </c>
      <c r="M52" s="160">
        <f>'1º TRIMESTRE'!M52</f>
        <v>45130</v>
      </c>
      <c r="N52" s="15">
        <f>'1º TRIMESTRE'!N52</f>
        <v>0</v>
      </c>
      <c r="O52" s="16">
        <f>'1º TRIMESTRE'!O52+4430000</f>
        <v>4430000</v>
      </c>
      <c r="P52" s="171">
        <f>4878113.98</f>
        <v>4878113.98</v>
      </c>
      <c r="Q52" s="15" t="str">
        <f>'1º TRIMESTRE'!Q52</f>
        <v>4.4.90.39</v>
      </c>
      <c r="R52" s="16">
        <f>'1º TRIMESTRE'!R52+5527947.32</f>
        <v>10778965.68</v>
      </c>
      <c r="S52" s="16">
        <v>5701587.57</v>
      </c>
      <c r="T52" s="16">
        <f>'1º TRIMESTRE'!T52+S52</f>
        <v>5701587.57</v>
      </c>
      <c r="U52" s="16">
        <f>'1º TRIMESTRE'!U52+S52</f>
        <v>10672164.68</v>
      </c>
      <c r="V52" s="16" t="str">
        <f>'1º TRIMESTRE'!V52</f>
        <v>andamento</v>
      </c>
    </row>
    <row r="53" spans="1:22" ht="53.25">
      <c r="A53" s="14" t="str">
        <f>'1º TRIMESTRE'!A53</f>
        <v>CONCORRÊNCIA Licitação: 16/2020</v>
      </c>
      <c r="B53" s="14" t="str">
        <f>'1º TRIMESTRE'!B53</f>
        <v>EXECUÇÃO DE SERVIÇOS DE REQUALIFICAÇÃO MANUTENÇÃO PREVENTIVA E CORRETIVA DE PRAÇAS, PARQUES E ÁREAS VERDES CANTEIROS DE AVENIDAS E REFÚGIOS DA CIDADE DO RECIFE RPAS 1,2 E 3</v>
      </c>
      <c r="C53" s="14">
        <f>'1º TRIMESTRE'!C53</f>
        <v>0</v>
      </c>
      <c r="D53" s="14">
        <f>'1º TRIMESTRE'!D53</f>
        <v>0</v>
      </c>
      <c r="E53" s="57">
        <f>'1º TRIMESTRE'!E53</f>
        <v>0</v>
      </c>
      <c r="F53" s="57">
        <f>'1º TRIMESTRE'!F53</f>
        <v>0</v>
      </c>
      <c r="G53" s="14" t="str">
        <f>'1º TRIMESTRE'!G53</f>
        <v>05.625.079/0001-60</v>
      </c>
      <c r="H53" s="14" t="str">
        <f>'1º TRIMESTRE'!H53</f>
        <v>CONSTRUTORA MARDIFI LTDA - EPP </v>
      </c>
      <c r="I53" s="15" t="str">
        <f>'1º TRIMESTRE'!I53</f>
        <v>6-028/21</v>
      </c>
      <c r="J53" s="160">
        <f>'1º TRIMESTRE'!J53</f>
        <v>44391</v>
      </c>
      <c r="K53" s="15">
        <f>'1º TRIMESTRE'!K53</f>
        <v>790</v>
      </c>
      <c r="L53" s="16">
        <f>'1º TRIMESTRE'!L53</f>
        <v>5538433.27</v>
      </c>
      <c r="M53" s="160">
        <f>'1º TRIMESTRE'!M53</f>
        <v>45181</v>
      </c>
      <c r="N53" s="15">
        <f>'1º TRIMESTRE'!N53</f>
        <v>0</v>
      </c>
      <c r="O53" s="16">
        <f>'1º TRIMESTRE'!O53+199047.5</f>
        <v>1123031.08</v>
      </c>
      <c r="P53" s="171">
        <f>'1º TRIMESTRE'!P53</f>
        <v>0</v>
      </c>
      <c r="Q53" s="15" t="str">
        <f>'1º TRIMESTRE'!Q53</f>
        <v>3.3.90.39</v>
      </c>
      <c r="R53" s="16">
        <f>'1º TRIMESTRE'!R53+602682.38</f>
        <v>1475308.5299999998</v>
      </c>
      <c r="S53" s="16">
        <v>602682.3800000001</v>
      </c>
      <c r="T53" s="16">
        <f>'1º TRIMESTRE'!T53+S53</f>
        <v>1007351.2300000001</v>
      </c>
      <c r="U53" s="16">
        <f>'1º TRIMESTRE'!U53+S53</f>
        <v>1475308.5300000003</v>
      </c>
      <c r="V53" s="16" t="str">
        <f>'1º TRIMESTRE'!V53</f>
        <v>andamento</v>
      </c>
    </row>
    <row r="54" spans="1:22" ht="53.25">
      <c r="A54" s="14" t="str">
        <f>'1º TRIMESTRE'!A54</f>
        <v>CONCORRÊNCIA Licitação: 16/2020</v>
      </c>
      <c r="B54" s="14" t="str">
        <f>'1º TRIMESTRE'!B54</f>
        <v>EXECUÇÃO DE SERVIÇOS DE REQUALIFICAÇÃO MANUTENÇÃO PREVENTIVA E CORRETIVA DE PRAÇAS, PARQUES E ÁREAS VERDES CANTEIROS DE AVENIDAS E REFÚGIOS DA CIDADE DO RECIFE RPAS 4,5 E 6</v>
      </c>
      <c r="C54" s="14">
        <f>'1º TRIMESTRE'!C54</f>
        <v>0</v>
      </c>
      <c r="D54" s="14">
        <f>'1º TRIMESTRE'!D54</f>
        <v>0</v>
      </c>
      <c r="E54" s="57">
        <f>'1º TRIMESTRE'!E54</f>
        <v>0</v>
      </c>
      <c r="F54" s="57">
        <f>'1º TRIMESTRE'!F54</f>
        <v>0</v>
      </c>
      <c r="G54" s="14" t="str">
        <f>'1º TRIMESTRE'!G54</f>
        <v>10.698.641/0001-15</v>
      </c>
      <c r="H54" s="14" t="str">
        <f>'1º TRIMESTRE'!H54</f>
        <v>CONSTRUTORA MASTER EIRELI ME</v>
      </c>
      <c r="I54" s="179" t="str">
        <f>'1º TRIMESTRE'!I54</f>
        <v>6-029/21</v>
      </c>
      <c r="J54" s="160">
        <f>'1º TRIMESTRE'!J54</f>
        <v>44391</v>
      </c>
      <c r="K54" s="15">
        <f>'1º TRIMESTRE'!K54</f>
        <v>790</v>
      </c>
      <c r="L54" s="16">
        <f>'1º TRIMESTRE'!L54</f>
        <v>6400029.52</v>
      </c>
      <c r="M54" s="160">
        <f>'1º TRIMESTRE'!M54</f>
        <v>45181</v>
      </c>
      <c r="N54" s="15">
        <f>'1º TRIMESTRE'!N54</f>
        <v>0</v>
      </c>
      <c r="O54" s="16">
        <f>'1º TRIMESTRE'!O54+278064</f>
        <v>1599212.75</v>
      </c>
      <c r="P54" s="171">
        <f>'1º TRIMESTRE'!P54</f>
        <v>0</v>
      </c>
      <c r="Q54" s="15" t="str">
        <f>'1º TRIMESTRE'!Q54</f>
        <v>3.3.90.39</v>
      </c>
      <c r="R54" s="178">
        <f>'1º TRIMESTRE'!R54+486486.67</f>
        <v>2182508.2800000003</v>
      </c>
      <c r="S54" s="16">
        <v>414503.36</v>
      </c>
      <c r="T54" s="16">
        <f>'1º TRIMESTRE'!T54+S54</f>
        <v>562531.29</v>
      </c>
      <c r="U54" s="16">
        <f>'1º TRIMESTRE'!U54+S54</f>
        <v>2110524.97</v>
      </c>
      <c r="V54" s="16" t="str">
        <f>'1º TRIMESTRE'!V54</f>
        <v>andamento</v>
      </c>
    </row>
    <row r="55" spans="1:22" ht="53.25">
      <c r="A55" s="14" t="str">
        <f>'1º TRIMESTRE'!A55</f>
        <v>Tomada de Preço Licitação: 003/2021</v>
      </c>
      <c r="B55" s="14" t="str">
        <f>'1º TRIMESTRE'!B55</f>
        <v>CONTRATAÇÃO DE EMPRESA DE DE ENGENHARIA ESPECIALIZADA EM ILUMINAÇÃO PUBLICA. PARA INSTALAÇÃO DE LUMINÁRIAS/PROJETORES COM TECNOLOGIA LED NA CIDADE DO RECIFE/PE COM FORNECIMENTO DE ACESSÓRIOS</v>
      </c>
      <c r="C55" s="14" t="str">
        <f>'1º TRIMESTRE'!C55</f>
        <v>532561/2020</v>
      </c>
      <c r="D55" s="14" t="str">
        <f>'1º TRIMESTRE'!D55</f>
        <v>FINISA</v>
      </c>
      <c r="E55" s="57">
        <f>'1º TRIMESTRE'!E55</f>
        <v>50000000</v>
      </c>
      <c r="F55" s="57">
        <f>'1º TRIMESTRE'!F55</f>
        <v>0</v>
      </c>
      <c r="G55" s="14" t="str">
        <f>'1º TRIMESTRE'!G55</f>
        <v>01.346.561/0001-00</v>
      </c>
      <c r="H55" s="14" t="str">
        <f>'1º TRIMESTRE'!H55</f>
        <v>VASCONCELOS E SANTOS LTDA</v>
      </c>
      <c r="I55" s="15" t="str">
        <f>'1º TRIMESTRE'!I55</f>
        <v>6-037/21</v>
      </c>
      <c r="J55" s="160">
        <f>'1º TRIMESTRE'!J55</f>
        <v>44495</v>
      </c>
      <c r="K55" s="15">
        <f>'1º TRIMESTRE'!K55</f>
        <v>395</v>
      </c>
      <c r="L55" s="16">
        <f>'1º TRIMESTRE'!L55</f>
        <v>1048809.4</v>
      </c>
      <c r="M55" s="160">
        <f>'1º TRIMESTRE'!M55</f>
        <v>44890</v>
      </c>
      <c r="N55" s="15">
        <f>'1º TRIMESTRE'!N55</f>
        <v>0</v>
      </c>
      <c r="O55" s="16">
        <f>'1º TRIMESTRE'!O55+251613.71</f>
        <v>251613.71</v>
      </c>
      <c r="P55" s="171">
        <f>'1º TRIMESTRE'!P55</f>
        <v>0</v>
      </c>
      <c r="Q55" s="15" t="str">
        <f>'1º TRIMESTRE'!Q55</f>
        <v>4.4.90.39</v>
      </c>
      <c r="R55" s="16">
        <f>'1º TRIMESTRE'!R55+311979.64</f>
        <v>788491.34</v>
      </c>
      <c r="S55" s="16">
        <v>461355.22000000003</v>
      </c>
      <c r="T55" s="16">
        <f>'1º TRIMESTRE'!T55+S55</f>
        <v>461355.22000000003</v>
      </c>
      <c r="U55" s="16">
        <f>'1º TRIMESTRE'!U55+S55</f>
        <v>788491.3400000001</v>
      </c>
      <c r="V55" s="16" t="str">
        <f>'1º TRIMESTRE'!V55</f>
        <v>andamento</v>
      </c>
    </row>
    <row r="56" spans="1:22" ht="42.75">
      <c r="A56" s="14" t="str">
        <f>'1º TRIMESTRE'!A56</f>
        <v>Tomada de Preço Licitação: 004/2021</v>
      </c>
      <c r="B56" s="14" t="str">
        <f>'1º TRIMESTRE'!B56</f>
        <v>CONTRATACAO DE EMPRESA DE ENGENHARIA PARA PRESTACAO DOS SERVICOS DE MANUTENCAO DO ENROCAMENTO DE PEDRAS DA PROTECAO EXISTENTE NA ORLA DE BOA VIAGEM</v>
      </c>
      <c r="C56" s="14">
        <f>'1º TRIMESTRE'!C56</f>
        <v>0</v>
      </c>
      <c r="D56" s="14">
        <f>'1º TRIMESTRE'!D56</f>
        <v>0</v>
      </c>
      <c r="E56" s="57">
        <f>'1º TRIMESTRE'!E56</f>
        <v>0</v>
      </c>
      <c r="F56" s="57">
        <f>'1º TRIMESTRE'!F56</f>
        <v>0</v>
      </c>
      <c r="G56" s="14" t="str">
        <f>'1º TRIMESTRE'!G56</f>
        <v>70.086.111/0001-48</v>
      </c>
      <c r="H56" s="14" t="str">
        <f>'1º TRIMESTRE'!H56</f>
        <v>COASTAL - CONSTRUÇÕES E SOLUÇÕES TÉCNICAS AMBIENTAIS EIRELI</v>
      </c>
      <c r="I56" s="15" t="str">
        <f>'1º TRIMESTRE'!I56</f>
        <v>6-039/21</v>
      </c>
      <c r="J56" s="160">
        <f>'1º TRIMESTRE'!J56</f>
        <v>44455</v>
      </c>
      <c r="K56" s="15">
        <f>'1º TRIMESTRE'!K56</f>
        <v>455</v>
      </c>
      <c r="L56" s="16">
        <f>'1º TRIMESTRE'!L56</f>
        <v>1460562.75</v>
      </c>
      <c r="M56" s="160">
        <f>'1º TRIMESTRE'!M56</f>
        <v>44910</v>
      </c>
      <c r="N56" s="15">
        <f>'1º TRIMESTRE'!N56</f>
        <v>0</v>
      </c>
      <c r="O56" s="16">
        <f>'1º TRIMESTRE'!O56</f>
        <v>225202.39</v>
      </c>
      <c r="P56" s="171">
        <f>'1º TRIMESTRE'!P56</f>
        <v>0</v>
      </c>
      <c r="Q56" s="15" t="str">
        <f>'1º TRIMESTRE'!Q56</f>
        <v>3.3.90.39</v>
      </c>
      <c r="R56" s="16">
        <f>'1º TRIMESTRE'!R56+392027.34</f>
        <v>1001922.1600000001</v>
      </c>
      <c r="S56" s="16">
        <v>392027.34</v>
      </c>
      <c r="T56" s="16">
        <f>'1º TRIMESTRE'!T56+S56</f>
        <v>651285.38</v>
      </c>
      <c r="U56" s="16">
        <f>'1º TRIMESTRE'!U56+S56</f>
        <v>1001922.1600000001</v>
      </c>
      <c r="V56" s="16" t="str">
        <f>'1º TRIMESTRE'!V56</f>
        <v>andamento</v>
      </c>
    </row>
    <row r="57" spans="1:22" ht="42.75">
      <c r="A57" s="14" t="str">
        <f>'1º TRIMESTRE'!A57</f>
        <v>Concorrência Licitação: 009/2021</v>
      </c>
      <c r="B57" s="14" t="str">
        <f>'1º TRIMESTRE'!B57</f>
        <v>EXECUÇÃO DE SERVIÇOS DE RECUPERAÇÃO DE PASSARELAS, PONTILHÕES E ELEMENTOS LIMITADORES DE ESPAÇO OU PROTEÇÃO NAS DIVERSAS RPAS DA CIDADE DO RECIFE</v>
      </c>
      <c r="C57" s="14">
        <f>'1º TRIMESTRE'!C57</f>
        <v>0</v>
      </c>
      <c r="D57" s="14">
        <f>'1º TRIMESTRE'!D57</f>
        <v>0</v>
      </c>
      <c r="E57" s="57">
        <f>'1º TRIMESTRE'!E57</f>
        <v>0</v>
      </c>
      <c r="F57" s="57">
        <f>'1º TRIMESTRE'!F57</f>
        <v>0</v>
      </c>
      <c r="G57" s="14" t="str">
        <f>'1º TRIMESTRE'!G57</f>
        <v>10.811.370/0001-62</v>
      </c>
      <c r="H57" s="14" t="str">
        <f>'1º TRIMESTRE'!H57</f>
        <v>GUERRA CONSTRUCOES LTDA</v>
      </c>
      <c r="I57" s="15" t="str">
        <f>'1º TRIMESTRE'!I57</f>
        <v>6-042/21</v>
      </c>
      <c r="J57" s="160">
        <f>'1º TRIMESTRE'!J57</f>
        <v>44516</v>
      </c>
      <c r="K57" s="15">
        <f>'1º TRIMESTRE'!K57</f>
        <v>790</v>
      </c>
      <c r="L57" s="16">
        <f>'1º TRIMESTRE'!L57</f>
        <v>4874717.78</v>
      </c>
      <c r="M57" s="160">
        <f>'1º TRIMESTRE'!M57</f>
        <v>45306</v>
      </c>
      <c r="N57" s="15">
        <f>'1º TRIMESTRE'!N57</f>
        <v>0</v>
      </c>
      <c r="O57" s="16">
        <f>'1º TRIMESTRE'!O57+827147.91</f>
        <v>827147.91</v>
      </c>
      <c r="P57" s="171">
        <f>'1º TRIMESTRE'!P57</f>
        <v>0</v>
      </c>
      <c r="Q57" s="15" t="str">
        <f>'1º TRIMESTRE'!Q57</f>
        <v>3.3.90.39</v>
      </c>
      <c r="R57" s="16">
        <f>'1º TRIMESTRE'!R57+1109322.9</f>
        <v>3213092.4699999997</v>
      </c>
      <c r="S57" s="16">
        <v>387953.56</v>
      </c>
      <c r="T57" s="16">
        <f>'1º TRIMESTRE'!T57+S57</f>
        <v>1343088.14</v>
      </c>
      <c r="U57" s="16">
        <f>'1º TRIMESTRE'!U57+S57</f>
        <v>2491723.13</v>
      </c>
      <c r="V57" s="16" t="str">
        <f>'1º TRIMESTRE'!V57</f>
        <v>andamento</v>
      </c>
    </row>
    <row r="58" spans="1:22" ht="31.5">
      <c r="A58" s="14" t="str">
        <f>'1º TRIMESTRE'!A58</f>
        <v>DISP 004/2021</v>
      </c>
      <c r="B58" s="14" t="str">
        <f>'1º TRIMESTRE'!B58</f>
        <v>CONTRATACAO DE SERVICOS EM CARATER EMERGENCIAL DE COLETA E LIMPEZA URBANA - LOTE 2</v>
      </c>
      <c r="C58" s="14">
        <f>'1º TRIMESTRE'!C58</f>
        <v>0</v>
      </c>
      <c r="D58" s="14">
        <f>'1º TRIMESTRE'!D58</f>
        <v>0</v>
      </c>
      <c r="E58" s="57">
        <f>'1º TRIMESTRE'!E58</f>
        <v>0</v>
      </c>
      <c r="F58" s="57">
        <f>'1º TRIMESTRE'!F58</f>
        <v>0</v>
      </c>
      <c r="G58" s="14" t="str">
        <f>'1º TRIMESTRE'!G58</f>
        <v>02.536.066/0015-21</v>
      </c>
      <c r="H58" s="14" t="str">
        <f>'1º TRIMESTRE'!H58</f>
        <v>VITAL ENGENHARIA AMBIENTAL S/A</v>
      </c>
      <c r="I58" s="15" t="str">
        <f>'1º TRIMESTRE'!I58</f>
        <v>6-044/21</v>
      </c>
      <c r="J58" s="160">
        <f>'1º TRIMESTRE'!J58</f>
        <v>44469</v>
      </c>
      <c r="K58" s="15">
        <f>'1º TRIMESTRE'!K58</f>
        <v>180</v>
      </c>
      <c r="L58" s="16">
        <f>'1º TRIMESTRE'!L58</f>
        <v>76577831.53</v>
      </c>
      <c r="M58" s="160">
        <f>'1º TRIMESTRE'!M58</f>
        <v>44649</v>
      </c>
      <c r="N58" s="15">
        <f>'1º TRIMESTRE'!N58</f>
        <v>0</v>
      </c>
      <c r="O58" s="16">
        <f>'1º TRIMESTRE'!O58</f>
        <v>0</v>
      </c>
      <c r="P58" s="171">
        <f>'1º TRIMESTRE'!P58</f>
        <v>4813284.33</v>
      </c>
      <c r="Q58" s="15" t="str">
        <f>'1º TRIMESTRE'!Q58</f>
        <v>3.3.90.39</v>
      </c>
      <c r="R58" s="16">
        <f>'1º TRIMESTRE'!R58+10730340.99</f>
        <v>74801370.57</v>
      </c>
      <c r="S58" s="16">
        <v>11172365.32</v>
      </c>
      <c r="T58" s="16">
        <f>'1º TRIMESTRE'!T58+S58</f>
        <v>46567923.99999999</v>
      </c>
      <c r="U58" s="16">
        <f>'1º TRIMESTRE'!U58+S58</f>
        <v>74004719.57</v>
      </c>
      <c r="V58" s="16" t="str">
        <f>'1º TRIMESTRE'!V58</f>
        <v>andamento</v>
      </c>
    </row>
    <row r="59" spans="1:22" ht="53.25">
      <c r="A59" s="14" t="str">
        <f>'1º TRIMESTRE'!A59</f>
        <v>Pregão Eletrônico Licitação: 031/2021</v>
      </c>
      <c r="B59" s="14" t="str">
        <f>'1º TRIMESTRE'!B59</f>
        <v>CONTRATAÇÃO DE EMPRESA DE ENGENHARIA NA ÁREA DE GEOTÉCNIA PARA ENSAIO DE PENETRAÇÃO DE UM CONE ESTÁTICO DE AÇO COM MEDIDAS DE PRESSÕES NEUTRAS CPTU CONFORME PROCEDIMENTOS DA NORMA ASTM D 5778 95</v>
      </c>
      <c r="C59" s="14">
        <f>'1º TRIMESTRE'!C59</f>
        <v>0</v>
      </c>
      <c r="D59" s="14">
        <f>'1º TRIMESTRE'!D59</f>
        <v>0</v>
      </c>
      <c r="E59" s="57">
        <f>'1º TRIMESTRE'!E59</f>
        <v>0</v>
      </c>
      <c r="F59" s="57">
        <f>'1º TRIMESTRE'!F59</f>
        <v>0</v>
      </c>
      <c r="G59" s="14" t="str">
        <f>'1º TRIMESTRE'!G59</f>
        <v>18.968.880/0001-50</v>
      </c>
      <c r="H59" s="14" t="str">
        <f>'1º TRIMESTRE'!H59</f>
        <v>A1MC PROJETOS LTDA</v>
      </c>
      <c r="I59" s="15" t="str">
        <f>'1º TRIMESTRE'!I59</f>
        <v>6-045/21</v>
      </c>
      <c r="J59" s="160">
        <f>'1º TRIMESTRE'!J59</f>
        <v>44523</v>
      </c>
      <c r="K59" s="15">
        <f>'1º TRIMESTRE'!K59</f>
        <v>60</v>
      </c>
      <c r="L59" s="16">
        <f>'1º TRIMESTRE'!L59</f>
        <v>100000</v>
      </c>
      <c r="M59" s="160">
        <f>'1º TRIMESTRE'!M59</f>
        <v>44583</v>
      </c>
      <c r="N59" s="15">
        <f>'1º TRIMESTRE'!N59</f>
        <v>0</v>
      </c>
      <c r="O59" s="16">
        <f>'1º TRIMESTRE'!O59</f>
        <v>8966.94</v>
      </c>
      <c r="P59" s="171">
        <f>'1º TRIMESTRE'!P59</f>
        <v>0</v>
      </c>
      <c r="Q59" s="15" t="str">
        <f>'1º TRIMESTRE'!Q59</f>
        <v>3.3.90.39</v>
      </c>
      <c r="R59" s="16">
        <f>'1º TRIMESTRE'!R59</f>
        <v>108966.93000000001</v>
      </c>
      <c r="S59" s="16">
        <v>0</v>
      </c>
      <c r="T59" s="16">
        <f>'1º TRIMESTRE'!T59+S59</f>
        <v>45018.95</v>
      </c>
      <c r="U59" s="16">
        <f>'1º TRIMESTRE'!U59+S59</f>
        <v>108966.93</v>
      </c>
      <c r="V59" s="16" t="str">
        <f>'1º TRIMESTRE'!V59</f>
        <v>encerrado</v>
      </c>
    </row>
    <row r="60" spans="1:22" ht="31.5">
      <c r="A60" s="14" t="str">
        <f>'1º TRIMESTRE'!A60</f>
        <v>DISP 003/2021</v>
      </c>
      <c r="B60" s="14" t="str">
        <f>'1º TRIMESTRE'!B60</f>
        <v>CONTRATACAO DE SERVICO. EM CARATER EMERGENCIAL. DE COLETA E LIMPEZA URBANA LOTE 1</v>
      </c>
      <c r="C60" s="14">
        <f>'1º TRIMESTRE'!C60</f>
        <v>0</v>
      </c>
      <c r="D60" s="14">
        <f>'1º TRIMESTRE'!D60</f>
        <v>0</v>
      </c>
      <c r="E60" s="57">
        <f>'1º TRIMESTRE'!E60</f>
        <v>0</v>
      </c>
      <c r="F60" s="57">
        <f>'1º TRIMESTRE'!F60</f>
        <v>0</v>
      </c>
      <c r="G60" s="14" t="str">
        <f>'1º TRIMESTRE'!G60</f>
        <v>12.854.865/0001-02</v>
      </c>
      <c r="H60" s="14" t="str">
        <f>'1º TRIMESTRE'!H60</f>
        <v>COELHO DE  ANDRADE ENGENHARIA LTDA</v>
      </c>
      <c r="I60" s="15" t="str">
        <f>'1º TRIMESTRE'!I60</f>
        <v>6-048/21</v>
      </c>
      <c r="J60" s="160">
        <f>'1º TRIMESTRE'!J60</f>
        <v>44469</v>
      </c>
      <c r="K60" s="15">
        <f>'1º TRIMESTRE'!K60</f>
        <v>180</v>
      </c>
      <c r="L60" s="16">
        <f>'1º TRIMESTRE'!L60</f>
        <v>26846364.45</v>
      </c>
      <c r="M60" s="160">
        <f>'1º TRIMESTRE'!M60</f>
        <v>44649</v>
      </c>
      <c r="N60" s="15">
        <f>'1º TRIMESTRE'!N60</f>
        <v>0</v>
      </c>
      <c r="O60" s="16">
        <f>'1º TRIMESTRE'!O60</f>
        <v>0</v>
      </c>
      <c r="P60" s="171">
        <f>'1º TRIMESTRE'!P60</f>
        <v>1905664.26</v>
      </c>
      <c r="Q60" s="15" t="str">
        <f>'1º TRIMESTRE'!Q60</f>
        <v>3.3.90.39</v>
      </c>
      <c r="R60" s="16">
        <f>'1º TRIMESTRE'!R60+3451138.8</f>
        <v>25351465.8</v>
      </c>
      <c r="S60" s="16">
        <v>3451138.8000000003</v>
      </c>
      <c r="T60" s="16">
        <f>'1º TRIMESTRE'!T60+S60</f>
        <v>13053855.730000002</v>
      </c>
      <c r="U60" s="16">
        <f>'1º TRIMESTRE'!U60+S60</f>
        <v>24990165.110000003</v>
      </c>
      <c r="V60" s="16" t="str">
        <f>'1º TRIMESTRE'!V60</f>
        <v>andamento</v>
      </c>
    </row>
    <row r="61" spans="1:22" ht="42.75">
      <c r="A61" s="14" t="str">
        <f>'1º TRIMESTRE'!A61</f>
        <v>PREGÃO ELETRÔNICO Licitação: 26/2021</v>
      </c>
      <c r="B61" s="14" t="str">
        <f>'1º TRIMESTRE'!B61</f>
        <v>CONTRATAÇÃO DE EMPRESA ESPECIALIZADA EM ENGENHARIA SANITÁRIA PARA A EXECUÇÃO DOS SERVIÇOS DE COLETA E LIMPEZA URBANA NO MUNICÍPIO DO RECIFE</v>
      </c>
      <c r="C61" s="14">
        <f>'1º TRIMESTRE'!C61</f>
        <v>0</v>
      </c>
      <c r="D61" s="14">
        <f>'1º TRIMESTRE'!D61</f>
        <v>0</v>
      </c>
      <c r="E61" s="57">
        <f>'1º TRIMESTRE'!E61</f>
        <v>0</v>
      </c>
      <c r="F61" s="57">
        <f>'1º TRIMESTRE'!F61</f>
        <v>0</v>
      </c>
      <c r="G61" s="14" t="str">
        <f>'1º TRIMESTRE'!G61</f>
        <v>40.884.405/0001-54</v>
      </c>
      <c r="H61" s="14" t="str">
        <f>'1º TRIMESTRE'!H61</f>
        <v>LOQUIPE LOCACAO DE EQUIPAMENTOS E MAO DE OBRA LTDA</v>
      </c>
      <c r="I61" s="15" t="str">
        <f>'1º TRIMESTRE'!I61</f>
        <v>6-053/21</v>
      </c>
      <c r="J61" s="160">
        <f>'1º TRIMESTRE'!J61</f>
        <v>44530</v>
      </c>
      <c r="K61" s="15">
        <f>'1º TRIMESTRE'!K61</f>
        <v>1920</v>
      </c>
      <c r="L61" s="16">
        <f>'1º TRIMESTRE'!L61</f>
        <v>133146086.4</v>
      </c>
      <c r="M61" s="160">
        <f>'1º TRIMESTRE'!M61</f>
        <v>46450</v>
      </c>
      <c r="N61" s="15">
        <f>'1º TRIMESTRE'!N61</f>
        <v>0</v>
      </c>
      <c r="O61" s="16">
        <f>'1º TRIMESTRE'!O61</f>
        <v>0</v>
      </c>
      <c r="P61" s="171">
        <v>28492880.4</v>
      </c>
      <c r="Q61" s="15" t="str">
        <f>'1º TRIMESTRE'!Q61</f>
        <v>3.3.90.39</v>
      </c>
      <c r="R61" s="16">
        <f>'1º TRIMESTRE'!R61+6849957.82</f>
        <v>7195332.8100000005</v>
      </c>
      <c r="S61" s="16">
        <v>6274598.109999999</v>
      </c>
      <c r="T61" s="16">
        <f>'1º TRIMESTRE'!T61+S61</f>
        <v>6619973.1</v>
      </c>
      <c r="U61" s="16">
        <f>'1º TRIMESTRE'!U61+S61</f>
        <v>6619973.1</v>
      </c>
      <c r="V61" s="16" t="str">
        <f>'1º TRIMESTRE'!V61</f>
        <v>andamento</v>
      </c>
    </row>
    <row r="62" spans="1:22" ht="63.75">
      <c r="A62" s="14" t="str">
        <f>'1º TRIMESTRE'!A62</f>
        <v>Pregão Eletrônico Licitação: 032/2021</v>
      </c>
      <c r="B62" s="14" t="str">
        <f>'1º TRIMESTRE'!B62</f>
        <v>CONTRATAÇÃO DE EMPRESA ESPECIALIZADA NA PRESTAÇÃO DE SERVIÇOS CONTÍNUOS DE PAISAGISMO E CONSERVAÇÃO PREVENTIVA E CORRETIVA DE PARQUES, PRAÇAS, JARDINS E ÁREAS VERDES PÚBLICAS NA CIDADE DO RECIFE - LOTE 01</v>
      </c>
      <c r="C62" s="14">
        <f>'1º TRIMESTRE'!C62</f>
        <v>0</v>
      </c>
      <c r="D62" s="14">
        <f>'1º TRIMESTRE'!D62</f>
        <v>0</v>
      </c>
      <c r="E62" s="57">
        <f>'1º TRIMESTRE'!E62</f>
        <v>0</v>
      </c>
      <c r="F62" s="57">
        <f>'1º TRIMESTRE'!F62</f>
        <v>0</v>
      </c>
      <c r="G62" s="14" t="str">
        <f>'1º TRIMESTRE'!G62</f>
        <v>08.963.533/0001-80</v>
      </c>
      <c r="H62" s="14" t="str">
        <f>'1º TRIMESTRE'!H62</f>
        <v>FAR COMERCIO E SERVIÇOS PAISAGISTICOS LTDA</v>
      </c>
      <c r="I62" s="15" t="str">
        <f>'1º TRIMESTRE'!I62</f>
        <v>6-056/21</v>
      </c>
      <c r="J62" s="160">
        <f>'1º TRIMESTRE'!J62</f>
        <v>44531</v>
      </c>
      <c r="K62" s="15">
        <f>'1º TRIMESTRE'!K62</f>
        <v>760</v>
      </c>
      <c r="L62" s="16">
        <f>'1º TRIMESTRE'!L62</f>
        <v>3696587.52</v>
      </c>
      <c r="M62" s="160">
        <f>'1º TRIMESTRE'!M62</f>
        <v>45291</v>
      </c>
      <c r="N62" s="15">
        <f>'1º TRIMESTRE'!N62</f>
        <v>0</v>
      </c>
      <c r="O62" s="16">
        <f>'1º TRIMESTRE'!O62</f>
        <v>0</v>
      </c>
      <c r="P62" s="171">
        <f>'1º TRIMESTRE'!P62</f>
        <v>0</v>
      </c>
      <c r="Q62" s="15" t="str">
        <f>'1º TRIMESTRE'!Q62</f>
        <v>3.3.90.39</v>
      </c>
      <c r="R62" s="16">
        <f>'1º TRIMESTRE'!R62+461806.55</f>
        <v>877175.6</v>
      </c>
      <c r="S62" s="16">
        <v>595814.86</v>
      </c>
      <c r="T62" s="16">
        <f>'1º TRIMESTRE'!T62+S62</f>
        <v>845603.8</v>
      </c>
      <c r="U62" s="16">
        <f>'1º TRIMESTRE'!U62+S62</f>
        <v>877175.6</v>
      </c>
      <c r="V62" s="16" t="str">
        <f>'1º TRIMESTRE'!V62</f>
        <v>andamento</v>
      </c>
    </row>
    <row r="63" spans="1:22" ht="63.75">
      <c r="A63" s="14" t="str">
        <f>'1º TRIMESTRE'!A63</f>
        <v>Pregão Eletrônico Licitação: 032/2021</v>
      </c>
      <c r="B63" s="14" t="str">
        <f>'1º TRIMESTRE'!B63</f>
        <v>CONTRATAÇÃO DE EMPRESA ESPECIALIZADA NA PRESTAÇÃO DE SERVIÇOS CONTÍNUOS DE PAISAGISMO E CONSERVAÇÃO PREVENTIVA E CORRETIVA DE PARQUES, PRAÇAS, JARDINS E ÁREAS VERDES PÚBLICOS NA CIDADE DO RECIFE - LOTE 02</v>
      </c>
      <c r="C63" s="14">
        <f>'1º TRIMESTRE'!C63</f>
        <v>0</v>
      </c>
      <c r="D63" s="14">
        <f>'1º TRIMESTRE'!D63</f>
        <v>0</v>
      </c>
      <c r="E63" s="57">
        <f>'1º TRIMESTRE'!E63</f>
        <v>0</v>
      </c>
      <c r="F63" s="57">
        <f>'1º TRIMESTRE'!F63</f>
        <v>0</v>
      </c>
      <c r="G63" s="14" t="str">
        <f>'1º TRIMESTRE'!G63</f>
        <v>08.963.533/0001-80</v>
      </c>
      <c r="H63" s="14" t="str">
        <f>'1º TRIMESTRE'!H63</f>
        <v>FAR COMERCIO E SERVIÇOS PAISAGISTICOS LTDA</v>
      </c>
      <c r="I63" s="15" t="str">
        <f>'1º TRIMESTRE'!I63</f>
        <v>6-057/21</v>
      </c>
      <c r="J63" s="160">
        <f>'1º TRIMESTRE'!J63</f>
        <v>44532</v>
      </c>
      <c r="K63" s="15">
        <f>'1º TRIMESTRE'!K63</f>
        <v>760</v>
      </c>
      <c r="L63" s="16">
        <f>'1º TRIMESTRE'!L63</f>
        <v>3380477.52</v>
      </c>
      <c r="M63" s="160">
        <f>'1º TRIMESTRE'!M63</f>
        <v>45292</v>
      </c>
      <c r="N63" s="15">
        <f>'1º TRIMESTRE'!N63</f>
        <v>0</v>
      </c>
      <c r="O63" s="16">
        <f>'1º TRIMESTRE'!O63</f>
        <v>0</v>
      </c>
      <c r="P63" s="171">
        <f>'1º TRIMESTRE'!P63</f>
        <v>0</v>
      </c>
      <c r="Q63" s="15" t="str">
        <f>'1º TRIMESTRE'!Q63</f>
        <v>3.3.90.39</v>
      </c>
      <c r="R63" s="16">
        <f>'1º TRIMESTRE'!R63+421963.99</f>
        <v>844523.6799999999</v>
      </c>
      <c r="S63" s="16">
        <v>562817.22</v>
      </c>
      <c r="T63" s="16">
        <f>'1º TRIMESTRE'!T63+S63</f>
        <v>784954.22</v>
      </c>
      <c r="U63" s="16">
        <f>'1º TRIMESTRE'!U63+S63</f>
        <v>844523.6799999999</v>
      </c>
      <c r="V63" s="16" t="str">
        <f>'1º TRIMESTRE'!V63</f>
        <v>andamento</v>
      </c>
    </row>
    <row r="64" spans="1:22" ht="31.5">
      <c r="A64" s="14" t="str">
        <f>'1º TRIMESTRE'!A64</f>
        <v>PREGÃO ELETRÔNICO Licitação: 21/2021</v>
      </c>
      <c r="B64" s="14" t="str">
        <f>'1º TRIMESTRE'!B64</f>
        <v>SERVIÇOS DE REFORMA NAS DEPENDÊNCIAS DO CENTRO DE COMPOSTAGEM, LOCALIZADO NO CURADO - PE</v>
      </c>
      <c r="C64" s="14">
        <f>'1º TRIMESTRE'!C64</f>
        <v>0</v>
      </c>
      <c r="D64" s="14">
        <f>'1º TRIMESTRE'!D64</f>
        <v>0</v>
      </c>
      <c r="E64" s="57">
        <f>'1º TRIMESTRE'!E64</f>
        <v>0</v>
      </c>
      <c r="F64" s="57">
        <f>'1º TRIMESTRE'!F64</f>
        <v>0</v>
      </c>
      <c r="G64" s="14" t="str">
        <f>'1º TRIMESTRE'!G64</f>
        <v>41.116.138/0001-38</v>
      </c>
      <c r="H64" s="14" t="str">
        <f>'1º TRIMESTRE'!H64</f>
        <v>REAL ENERGY LTDA</v>
      </c>
      <c r="I64" s="15" t="str">
        <f>'1º TRIMESTRE'!I64</f>
        <v>6-033/21</v>
      </c>
      <c r="J64" s="160">
        <f>'1º TRIMESTRE'!J64</f>
        <v>44517</v>
      </c>
      <c r="K64" s="15">
        <f>'1º TRIMESTRE'!K64</f>
        <v>90</v>
      </c>
      <c r="L64" s="16">
        <f>'1º TRIMESTRE'!L64</f>
        <v>138202.17</v>
      </c>
      <c r="M64" s="160">
        <f>'1º TRIMESTRE'!M64</f>
        <v>44607</v>
      </c>
      <c r="N64" s="15">
        <f>'1º TRIMESTRE'!N64</f>
        <v>0</v>
      </c>
      <c r="O64" s="16">
        <f>'1º TRIMESTRE'!O64</f>
        <v>0</v>
      </c>
      <c r="P64" s="171">
        <f>'1º TRIMESTRE'!P64</f>
        <v>0</v>
      </c>
      <c r="Q64" s="15" t="str">
        <f>'1º TRIMESTRE'!Q64</f>
        <v>3.3.90.39</v>
      </c>
      <c r="R64" s="16">
        <f>'1º TRIMESTRE'!R64</f>
        <v>117656.25</v>
      </c>
      <c r="S64" s="16">
        <v>0</v>
      </c>
      <c r="T64" s="16">
        <f>'1º TRIMESTRE'!T64+S64</f>
        <v>117656.25</v>
      </c>
      <c r="U64" s="16">
        <f>'1º TRIMESTRE'!U64+S64</f>
        <v>117656.25</v>
      </c>
      <c r="V64" s="16" t="s">
        <v>188</v>
      </c>
    </row>
    <row r="65" spans="1:22" ht="75">
      <c r="A65" s="14" t="str">
        <f>'1º TRIMESTRE'!A65</f>
        <v>CONCORRÊNCIA Licitação: 006/2021</v>
      </c>
      <c r="B65" s="14" t="str">
        <f>'1º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14" t="str">
        <f>'1º TRIMESTRE'!C65</f>
        <v> 892570/2019</v>
      </c>
      <c r="D65" s="14" t="str">
        <f>'1º TRIMESTRE'!D65</f>
        <v>Emenda Parlamentar Federal</v>
      </c>
      <c r="E65" s="57">
        <f>'1º TRIMESTRE'!E65</f>
        <v>3820000</v>
      </c>
      <c r="F65" s="57">
        <f>'1º TRIMESTRE'!F65</f>
        <v>8000</v>
      </c>
      <c r="G65" s="14" t="str">
        <f>'1º TRIMESTRE'!G65</f>
        <v>02.724.778/0001-79</v>
      </c>
      <c r="H65" s="14" t="str">
        <f>'1º TRIMESTRE'!H65</f>
        <v>UNITERRA - UNIAO TERRAPLENAGEM E CONSTRUCOES LTDA</v>
      </c>
      <c r="I65" s="179" t="str">
        <f>'1º TRIMESTRE'!I65</f>
        <v>6-035/21</v>
      </c>
      <c r="J65" s="160">
        <f>'1º TRIMESTRE'!J65</f>
        <v>44456</v>
      </c>
      <c r="K65" s="15">
        <f>'1º TRIMESTRE'!K65</f>
        <v>210</v>
      </c>
      <c r="L65" s="16">
        <f>'1º TRIMESTRE'!L65</f>
        <v>2111167.85</v>
      </c>
      <c r="M65" s="160">
        <f>'1º TRIMESTRE'!M65+156</f>
        <v>44822</v>
      </c>
      <c r="N65" s="179">
        <f>'1º TRIMESTRE'!N65+96</f>
        <v>96</v>
      </c>
      <c r="O65" s="16">
        <f>'1º TRIMESTRE'!O65</f>
        <v>0</v>
      </c>
      <c r="P65" s="171">
        <f>'1º TRIMESTRE'!P65</f>
        <v>-1342.84</v>
      </c>
      <c r="Q65" s="15" t="str">
        <f>'1º TRIMESTRE'!Q65</f>
        <v>4.4.90.39</v>
      </c>
      <c r="R65" s="178">
        <f>'1º TRIMESTRE'!R65+69964.4</f>
        <v>569570.48</v>
      </c>
      <c r="S65" s="16">
        <v>0</v>
      </c>
      <c r="T65" s="16">
        <f>'1º TRIMESTRE'!T65+S65</f>
        <v>0</v>
      </c>
      <c r="U65" s="16">
        <f>'1º TRIMESTRE'!U65+S65</f>
        <v>0</v>
      </c>
      <c r="V65" s="16" t="str">
        <f>'1º TRIMESTRE'!V65</f>
        <v>andamento</v>
      </c>
    </row>
    <row r="66" spans="1:22" ht="75">
      <c r="A66" s="14" t="str">
        <f>'1º TRIMESTRE'!A66</f>
        <v>CONCORRÊNCIA Licitação: 006/2021</v>
      </c>
      <c r="B66" s="14" t="str">
        <f>'1º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14" t="str">
        <f>'1º TRIMESTRE'!C66</f>
        <v> 892570/2019</v>
      </c>
      <c r="D66" s="14" t="str">
        <f>'1º TRIMESTRE'!D66</f>
        <v>Emenda Parlamentar Federal</v>
      </c>
      <c r="E66" s="57">
        <f>'1º TRIMESTRE'!E66</f>
        <v>3820000</v>
      </c>
      <c r="F66" s="57">
        <f>'1º TRIMESTRE'!F66</f>
        <v>8000</v>
      </c>
      <c r="G66" s="14" t="str">
        <f>'1º TRIMESTRE'!G66</f>
        <v>02.724.778/0001-79</v>
      </c>
      <c r="H66" s="14" t="str">
        <f>'1º TRIMESTRE'!H66</f>
        <v>UNITERRA - UNIAO TERRAPLENAGEM E CONSTRUCOES LTDA</v>
      </c>
      <c r="I66" s="15" t="str">
        <f>'1º TRIMESTRE'!I66</f>
        <v>6-041/21</v>
      </c>
      <c r="J66" s="160">
        <f>'1º TRIMESTRE'!J66</f>
        <v>44456</v>
      </c>
      <c r="K66" s="15">
        <f>'1º TRIMESTRE'!K66</f>
        <v>180</v>
      </c>
      <c r="L66" s="16">
        <f>'1º TRIMESTRE'!L66</f>
        <v>1022476.9</v>
      </c>
      <c r="M66" s="160">
        <f>'1º TRIMESTRE'!M66</f>
        <v>44726</v>
      </c>
      <c r="N66" s="15">
        <f>'1º TRIMESTRE'!N66</f>
        <v>90</v>
      </c>
      <c r="O66" s="16">
        <f>'1º TRIMESTRE'!O66</f>
        <v>0</v>
      </c>
      <c r="P66" s="171">
        <f>'1º TRIMESTRE'!P66</f>
        <v>-817.52</v>
      </c>
      <c r="Q66" s="15" t="str">
        <f>'1º TRIMESTRE'!Q66</f>
        <v>4.4.90.39</v>
      </c>
      <c r="R66" s="16">
        <f>'1º TRIMESTRE'!R66</f>
        <v>239052.4</v>
      </c>
      <c r="S66" s="16">
        <v>0</v>
      </c>
      <c r="T66" s="16">
        <f>'1º TRIMESTRE'!T66+S66</f>
        <v>0</v>
      </c>
      <c r="U66" s="16">
        <f>'1º TRIMESTRE'!U66+S66</f>
        <v>0</v>
      </c>
      <c r="V66" s="16" t="str">
        <f>'1º TRIMESTRE'!V66</f>
        <v>andamento</v>
      </c>
    </row>
    <row r="67" spans="1:100" s="21" customFormat="1" ht="42.75">
      <c r="A67" s="14" t="str">
        <f>'1º TRIMESTRE'!A67</f>
        <v>CONCORRÊNCIA Licitação: 011/2021</v>
      </c>
      <c r="B67" s="14" t="str">
        <f>'1º TRIMESTRE'!B67</f>
        <v>CONTRATAÇÃO DE SERVIÇOS DE APOIO TÉCNICO AO MONITORAMENTO DAS AÇÕES DE MANUTENÇÃO DO SISTEMA VIÁRIO DA CIDADE DO RECIFE</v>
      </c>
      <c r="C67" s="14">
        <f>'1º TRIMESTRE'!C67</f>
        <v>0</v>
      </c>
      <c r="D67" s="14">
        <f>'1º TRIMESTRE'!D67</f>
        <v>0</v>
      </c>
      <c r="E67" s="57">
        <f>'1º TRIMESTRE'!E67</f>
        <v>0</v>
      </c>
      <c r="F67" s="57">
        <f>'1º TRIMESTRE'!F67</f>
        <v>0</v>
      </c>
      <c r="G67" s="14" t="str">
        <f>'1º TRIMESTRE'!G67</f>
        <v>41.075.755/0001-32</v>
      </c>
      <c r="H67" s="14" t="str">
        <f>'1º TRIMESTRE'!H67</f>
        <v>NORCONSULT PROJETOS E CONSULTORIA LTDA</v>
      </c>
      <c r="I67" s="15" t="str">
        <f>'1º TRIMESTRE'!I67</f>
        <v>6-055/21</v>
      </c>
      <c r="J67" s="160">
        <f>'1º TRIMESTRE'!J67</f>
        <v>44531</v>
      </c>
      <c r="K67" s="15">
        <f>'1º TRIMESTRE'!K67</f>
        <v>1155</v>
      </c>
      <c r="L67" s="16">
        <f>'1º TRIMESTRE'!L67</f>
        <v>6729243.9</v>
      </c>
      <c r="M67" s="160">
        <f>'1º TRIMESTRE'!M67</f>
        <v>45686</v>
      </c>
      <c r="N67" s="15">
        <f>'1º TRIMESTRE'!N67</f>
        <v>0</v>
      </c>
      <c r="O67" s="16">
        <f>'1º TRIMESTRE'!O67</f>
        <v>0</v>
      </c>
      <c r="P67" s="171">
        <v>-2082965.4</v>
      </c>
      <c r="Q67" s="15" t="str">
        <f>'1º TRIMESTRE'!Q67</f>
        <v>3.3.90.39</v>
      </c>
      <c r="R67" s="16">
        <f>'1º TRIMESTRE'!R67+519354.95</f>
        <v>519354.95</v>
      </c>
      <c r="S67" s="16">
        <v>519354.6499999999</v>
      </c>
      <c r="T67" s="16">
        <f>'1º TRIMESTRE'!T67+S67</f>
        <v>519354.6499999999</v>
      </c>
      <c r="U67" s="16">
        <f>'1º TRIMESTRE'!U67+S67</f>
        <v>519354.6499999999</v>
      </c>
      <c r="V67" s="16" t="str">
        <f>'1º TRIMESTRE'!V67</f>
        <v>andamento</v>
      </c>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row>
    <row r="68" spans="1:22" ht="85.5">
      <c r="A68" s="14" t="str">
        <f>'1º TRIMESTRE'!A68</f>
        <v>CONCORRÊNCIA Licitação: 15/2021</v>
      </c>
      <c r="B68" s="14" t="str">
        <f>'1º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14">
        <f>'1º TRIMESTRE'!C68</f>
        <v>0</v>
      </c>
      <c r="D68" s="14">
        <f>'1º TRIMESTRE'!D68</f>
        <v>0</v>
      </c>
      <c r="E68" s="57">
        <f>'1º TRIMESTRE'!E68</f>
        <v>0</v>
      </c>
      <c r="F68" s="57">
        <f>'1º TRIMESTRE'!F68</f>
        <v>0</v>
      </c>
      <c r="G68" s="14" t="str">
        <f>'1º TRIMESTRE'!G68</f>
        <v>12.285.441/0001-66</v>
      </c>
      <c r="H68" s="14" t="str">
        <f>'1º TRIMESTRE'!H68</f>
        <v>TPF ENGENHARIA LTDA</v>
      </c>
      <c r="I68" s="15" t="str">
        <f>'1º TRIMESTRE'!I68</f>
        <v>6-058/21</v>
      </c>
      <c r="J68" s="160">
        <f>'1º TRIMESTRE'!J68</f>
        <v>44531</v>
      </c>
      <c r="K68" s="15">
        <f>'1º TRIMESTRE'!K68</f>
        <v>1890</v>
      </c>
      <c r="L68" s="16">
        <f>'1º TRIMESTRE'!L68</f>
        <v>39551349</v>
      </c>
      <c r="M68" s="160">
        <f>'1º TRIMESTRE'!M68</f>
        <v>46421</v>
      </c>
      <c r="N68" s="15">
        <f>'1º TRIMESTRE'!N68</f>
        <v>0</v>
      </c>
      <c r="O68" s="16">
        <f>'1º TRIMESTRE'!O68</f>
        <v>0</v>
      </c>
      <c r="P68" s="171">
        <f>'1º TRIMESTRE'!P68</f>
        <v>0</v>
      </c>
      <c r="Q68" s="15" t="str">
        <f>'1º TRIMESTRE'!Q68</f>
        <v>3.3.90.39</v>
      </c>
      <c r="R68" s="16">
        <f>'1º TRIMESTRE'!R68+1977567.45</f>
        <v>3318203.34</v>
      </c>
      <c r="S68" s="16">
        <v>1318378.3</v>
      </c>
      <c r="T68" s="16">
        <f>'1º TRIMESTRE'!T68+S68</f>
        <v>2659014.1900000004</v>
      </c>
      <c r="U68" s="16">
        <f>'1º TRIMESTRE'!U68+S68</f>
        <v>2659014.1900000004</v>
      </c>
      <c r="V68" s="16" t="str">
        <f>'1º TRIMESTRE'!V68</f>
        <v>andamento</v>
      </c>
    </row>
    <row r="69" spans="1:22" ht="53.25">
      <c r="A69" s="14" t="str">
        <f>'1º TRIMESTRE'!A69</f>
        <v>CONCORRÊNCIA Licitação: 010/2021</v>
      </c>
      <c r="B69" s="14" t="str">
        <f>'1º TRIMESTRE'!B69</f>
        <v>CONTRATACAÇÃO DE EMPRESA ESPECIALIZADA NO RAMO DE ENGENHARIA PARA EXECUÇÃO DOS SERVIÇOS DE RECUPERAÇÃO DA REDE DE DRENAGEM NO ENTORNO DA PRAÇA MIGUEL DE CERVANTES, ILHA DO LEITE - RECIFE PE</v>
      </c>
      <c r="C69" s="14">
        <f>'1º TRIMESTRE'!C69</f>
        <v>0</v>
      </c>
      <c r="D69" s="14">
        <f>'1º TRIMESTRE'!D69</f>
        <v>0</v>
      </c>
      <c r="E69" s="57">
        <f>'1º TRIMESTRE'!E69</f>
        <v>0</v>
      </c>
      <c r="F69" s="57">
        <f>'1º TRIMESTRE'!F69</f>
        <v>0</v>
      </c>
      <c r="G69" s="14" t="str">
        <f>'1º TRIMESTRE'!G69</f>
        <v>07.654.042/0001-95</v>
      </c>
      <c r="H69" s="14" t="str">
        <f>'1º TRIMESTRE'!H69</f>
        <v>ALTA SERVIÇOS DE ENGENHARIA LTDA - EPP</v>
      </c>
      <c r="I69" s="15" t="str">
        <f>'1º TRIMESTRE'!I69</f>
        <v>6-059/21</v>
      </c>
      <c r="J69" s="160">
        <f>'1º TRIMESTRE'!J69</f>
        <v>44636</v>
      </c>
      <c r="K69" s="15">
        <f>'1º TRIMESTRE'!K69</f>
        <v>90</v>
      </c>
      <c r="L69" s="16">
        <f>'1º TRIMESTRE'!L69</f>
        <v>911954.77</v>
      </c>
      <c r="M69" s="160">
        <f>'1º TRIMESTRE'!M69+32</f>
        <v>44758</v>
      </c>
      <c r="N69" s="15">
        <f>'1º TRIMESTRE'!N69+32</f>
        <v>32</v>
      </c>
      <c r="O69" s="16">
        <f>'1º TRIMESTRE'!O69</f>
        <v>0</v>
      </c>
      <c r="P69" s="171">
        <f>'1º TRIMESTRE'!P69</f>
        <v>0</v>
      </c>
      <c r="Q69" s="15" t="str">
        <f>'1º TRIMESTRE'!Q69</f>
        <v>4.4.90.39</v>
      </c>
      <c r="R69" s="16">
        <f>'1º TRIMESTRE'!R69+757429.73</f>
        <v>757429.73</v>
      </c>
      <c r="S69" s="16">
        <v>757429.73</v>
      </c>
      <c r="T69" s="16">
        <f>'1º TRIMESTRE'!T69+S69</f>
        <v>757429.73</v>
      </c>
      <c r="U69" s="16">
        <f>'1º TRIMESTRE'!U69+S69</f>
        <v>757429.73</v>
      </c>
      <c r="V69" s="16" t="str">
        <f>'1º TRIMESTRE'!V69</f>
        <v>andamento</v>
      </c>
    </row>
    <row r="70" spans="1:22" ht="75">
      <c r="A70" s="14" t="str">
        <f>'1º TRIMESTRE'!A70</f>
        <v>TOMADA DE PREÇOS Licitação: 007/2021</v>
      </c>
      <c r="B70" s="14" t="str">
        <f>'1º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14" t="str">
        <f>'1º TRIMESTRE'!C70</f>
        <v>884436/2019</v>
      </c>
      <c r="D70" s="14" t="str">
        <f>'1º TRIMESTRE'!D70</f>
        <v>Emenda Parlamentar Federal</v>
      </c>
      <c r="E70" s="57">
        <f>'1º TRIMESTRE'!E70</f>
        <v>355737</v>
      </c>
      <c r="F70" s="57">
        <f>'1º TRIMESTRE'!F70</f>
        <v>2000</v>
      </c>
      <c r="G70" s="14" t="str">
        <f>'1º TRIMESTRE'!G70</f>
        <v>05.625.079/0001-60</v>
      </c>
      <c r="H70" s="14" t="str">
        <f>'1º TRIMESTRE'!H70</f>
        <v>CONSTRUTORA MARDIFI LTDA - EPP </v>
      </c>
      <c r="I70" s="15" t="str">
        <f>'1º TRIMESTRE'!I70</f>
        <v>6-060/21</v>
      </c>
      <c r="J70" s="160">
        <f>'1º TRIMESTRE'!J70</f>
        <v>44603</v>
      </c>
      <c r="K70" s="15">
        <f>'1º TRIMESTRE'!K70</f>
        <v>150</v>
      </c>
      <c r="L70" s="16">
        <f>'1º TRIMESTRE'!L70</f>
        <v>193107.81</v>
      </c>
      <c r="M70" s="160">
        <f>'1º TRIMESTRE'!M70</f>
        <v>44753</v>
      </c>
      <c r="N70" s="15">
        <f>'1º TRIMESTRE'!N70</f>
        <v>0</v>
      </c>
      <c r="O70" s="16">
        <f>'1º TRIMESTRE'!O70</f>
        <v>0</v>
      </c>
      <c r="P70" s="171">
        <f>'1º TRIMESTRE'!P70</f>
        <v>0</v>
      </c>
      <c r="Q70" s="15" t="str">
        <f>'1º TRIMESTRE'!Q70</f>
        <v>4.4.90.39</v>
      </c>
      <c r="R70" s="16">
        <f>'1º TRIMESTRE'!R70</f>
        <v>0</v>
      </c>
      <c r="S70" s="16">
        <v>0</v>
      </c>
      <c r="T70" s="16">
        <f>'1º TRIMESTRE'!T70+S70</f>
        <v>0</v>
      </c>
      <c r="U70" s="16">
        <f>'1º TRIMESTRE'!U70+S70</f>
        <v>0</v>
      </c>
      <c r="V70" s="16" t="str">
        <f>'1º TRIMESTRE'!V70</f>
        <v>andamento</v>
      </c>
    </row>
    <row r="71" spans="1:22" ht="75">
      <c r="A71" s="14" t="str">
        <f>'1º TRIMESTRE'!A71</f>
        <v>TOMADA DE PREÇOS Licitação: 007/2021</v>
      </c>
      <c r="B71" s="14" t="str">
        <f>'1º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14" t="str">
        <f>'1º TRIMESTRE'!C71</f>
        <v>884436/2019</v>
      </c>
      <c r="D71" s="14" t="str">
        <f>'1º TRIMESTRE'!D71</f>
        <v>Emenda Parlamentar Federal</v>
      </c>
      <c r="E71" s="57">
        <f>'1º TRIMESTRE'!E71</f>
        <v>355737</v>
      </c>
      <c r="F71" s="57">
        <f>'1º TRIMESTRE'!F71</f>
        <v>2000</v>
      </c>
      <c r="G71" s="14" t="str">
        <f>'1º TRIMESTRE'!G71</f>
        <v>05.625.079/0001-60</v>
      </c>
      <c r="H71" s="14" t="str">
        <f>'1º TRIMESTRE'!H71</f>
        <v>CONSTRUTORA MARDIFI LTDA - EPP </v>
      </c>
      <c r="I71" s="15" t="str">
        <f>'1º TRIMESTRE'!I71</f>
        <v>6-061/21</v>
      </c>
      <c r="J71" s="160">
        <f>'1º TRIMESTRE'!J71</f>
        <v>44603</v>
      </c>
      <c r="K71" s="15">
        <f>'1º TRIMESTRE'!K71</f>
        <v>150</v>
      </c>
      <c r="L71" s="16">
        <f>'1º TRIMESTRE'!L71</f>
        <v>119800.38</v>
      </c>
      <c r="M71" s="160">
        <f>'1º TRIMESTRE'!M71+90</f>
        <v>44843</v>
      </c>
      <c r="N71" s="15">
        <f>'1º TRIMESTRE'!N71+90</f>
        <v>90</v>
      </c>
      <c r="O71" s="16">
        <f>'1º TRIMESTRE'!O71</f>
        <v>0</v>
      </c>
      <c r="P71" s="171">
        <f>'1º TRIMESTRE'!P71</f>
        <v>0</v>
      </c>
      <c r="Q71" s="15" t="str">
        <f>'1º TRIMESTRE'!Q71</f>
        <v>4.4.90.39</v>
      </c>
      <c r="R71" s="16">
        <f>'1º TRIMESTRE'!R71</f>
        <v>5813.89</v>
      </c>
      <c r="S71" s="16">
        <v>0</v>
      </c>
      <c r="T71" s="16">
        <f>'1º TRIMESTRE'!T71+S71</f>
        <v>0</v>
      </c>
      <c r="U71" s="16">
        <f>'1º TRIMESTRE'!U71+S71</f>
        <v>0</v>
      </c>
      <c r="V71" s="16" t="str">
        <f>'1º TRIMESTRE'!V71</f>
        <v>andamento</v>
      </c>
    </row>
    <row r="72" spans="1:22" ht="53.25">
      <c r="A72" s="14" t="str">
        <f>'1º TRIMESTRE'!A72</f>
        <v>CONCORRÊNCIA Licitação: 016/2021</v>
      </c>
      <c r="B72" s="14" t="str">
        <f>'1º TRIMESTRE'!B72</f>
        <v>SERVIÇOS DE RECUPERAÇÃO ESTRUTURAL DA PONTE RODOVIÁRIA, DENOMINADA ANTIGA PONTE GIRATÓRIA, QUE LIGA O BAIRRO DE SÃO JOSÉ AO BAIRRO DO RECIFE NA CIDADE DO RECIFE - PE</v>
      </c>
      <c r="C72" s="14">
        <f>'1º TRIMESTRE'!C72</f>
        <v>0</v>
      </c>
      <c r="D72" s="14">
        <f>'1º TRIMESTRE'!D72</f>
        <v>0</v>
      </c>
      <c r="E72" s="57">
        <f>'1º TRIMESTRE'!E72</f>
        <v>0</v>
      </c>
      <c r="F72" s="57">
        <f>'1º TRIMESTRE'!F72</f>
        <v>0</v>
      </c>
      <c r="G72" s="14" t="str">
        <f>'1º TRIMESTRE'!G72</f>
        <v>00.507.949/0001-82</v>
      </c>
      <c r="H72" s="14" t="str">
        <f>'1º TRIMESTRE'!H72</f>
        <v>JATOBETON ENGENHARIA LTDA</v>
      </c>
      <c r="I72" s="179" t="str">
        <f>'1º TRIMESTRE'!I72</f>
        <v>6-063/21</v>
      </c>
      <c r="J72" s="160">
        <f>'1º TRIMESTRE'!J72</f>
        <v>44615</v>
      </c>
      <c r="K72" s="15">
        <f>'1º TRIMESTRE'!K72</f>
        <v>645</v>
      </c>
      <c r="L72" s="178">
        <f>'1º TRIMESTRE'!L72</f>
        <v>9469419.63</v>
      </c>
      <c r="M72" s="160">
        <f>'1º TRIMESTRE'!M72</f>
        <v>45260</v>
      </c>
      <c r="N72" s="15">
        <f>'1º TRIMESTRE'!N72</f>
        <v>0</v>
      </c>
      <c r="O72" s="16">
        <f>'1º TRIMESTRE'!O72</f>
        <v>0</v>
      </c>
      <c r="P72" s="171">
        <f>'1º TRIMESTRE'!P72</f>
        <v>0</v>
      </c>
      <c r="Q72" s="15" t="str">
        <f>'1º TRIMESTRE'!Q72</f>
        <v>4.4.90.39</v>
      </c>
      <c r="R72" s="178">
        <f>'1º TRIMESTRE'!R72+2253681.44</f>
        <v>2253681.44</v>
      </c>
      <c r="S72" s="16">
        <v>958439.4600000001</v>
      </c>
      <c r="T72" s="16">
        <f>'1º TRIMESTRE'!T72+S72</f>
        <v>958439.4600000001</v>
      </c>
      <c r="U72" s="16">
        <f>'1º TRIMESTRE'!U72+S72</f>
        <v>958439.4600000001</v>
      </c>
      <c r="V72" s="16" t="str">
        <f>'1º TRIMESTRE'!V72</f>
        <v>andamento</v>
      </c>
    </row>
    <row r="73" spans="1:22" ht="53.25">
      <c r="A73" s="14" t="str">
        <f>'1º TRIMESTRE'!A73</f>
        <v>TOMADA DE PREÇOS Licitação: 006/2021</v>
      </c>
      <c r="B73" s="14" t="str">
        <f>'1º TRIMESTRE'!B73</f>
        <v>CONTRATAÇÃO DE EMPRESA DE ENGENHARIA, ESPECIALIZADA EM ILUMINAÇÃO PÚBLICA, PARA INSTALAÇÃO DE LUMINÁRIAS RGB COM TECNOLOGIA LED E REDE ELÉTRICA,  PARA ILUMINAÇÃO CÊNICA DA PRAÇA SOLANGE PINTO</v>
      </c>
      <c r="C73" s="14">
        <f>'1º TRIMESTRE'!C73</f>
        <v>0</v>
      </c>
      <c r="D73" s="14">
        <f>'1º TRIMESTRE'!D73</f>
        <v>0</v>
      </c>
      <c r="E73" s="57">
        <f>'1º TRIMESTRE'!E73</f>
        <v>0</v>
      </c>
      <c r="F73" s="57">
        <f>'1º TRIMESTRE'!F73</f>
        <v>0</v>
      </c>
      <c r="G73" s="14" t="str">
        <f>'1º TRIMESTRE'!G73</f>
        <v>03.834.750/0001-57</v>
      </c>
      <c r="H73" s="14" t="str">
        <f>'1º TRIMESTRE'!H73</f>
        <v>EIP SERVICOS DE ILUMINACAO LTDA</v>
      </c>
      <c r="I73" s="15" t="str">
        <f>'1º TRIMESTRE'!I73</f>
        <v>6-065/21</v>
      </c>
      <c r="J73" s="160">
        <f>'1º TRIMESTRE'!J73</f>
        <v>44559</v>
      </c>
      <c r="K73" s="15">
        <f>'1º TRIMESTRE'!K73</f>
        <v>150</v>
      </c>
      <c r="L73" s="16">
        <f>'1º TRIMESTRE'!L73</f>
        <v>316211.92</v>
      </c>
      <c r="M73" s="160">
        <f>'1º TRIMESTRE'!M73+90</f>
        <v>44799</v>
      </c>
      <c r="N73" s="15">
        <f>'1º TRIMESTRE'!N73+90</f>
        <v>90</v>
      </c>
      <c r="O73" s="16">
        <f>'1º TRIMESTRE'!O73</f>
        <v>0</v>
      </c>
      <c r="P73" s="171">
        <f>'1º TRIMESTRE'!P73</f>
        <v>0</v>
      </c>
      <c r="Q73" s="15" t="str">
        <f>'1º TRIMESTRE'!Q73</f>
        <v>3.3.90.39</v>
      </c>
      <c r="R73" s="16">
        <f>'1º TRIMESTRE'!R73+98497.02</f>
        <v>235818.61</v>
      </c>
      <c r="S73" s="16">
        <v>235818.61</v>
      </c>
      <c r="T73" s="16">
        <f>'1º TRIMESTRE'!T73+S73</f>
        <v>235818.61</v>
      </c>
      <c r="U73" s="16">
        <f>'1º TRIMESTRE'!U73+S73</f>
        <v>235818.61</v>
      </c>
      <c r="V73" s="16" t="str">
        <f>'1º TRIMESTRE'!V73</f>
        <v>andamento</v>
      </c>
    </row>
    <row r="74" spans="1:22" ht="63.75">
      <c r="A74" s="14" t="str">
        <f>'1º TRIMESTRE'!A74</f>
        <v>TOMADA DE PREÇOS Licitação: 005/2021</v>
      </c>
      <c r="B74" s="14" t="str">
        <f>'1º TRIMESTRE'!B74</f>
        <v>CONTRATAÇÃO DE EMPRESA DE ENGENHARIA, ESPECIALIZADA EM ILUMINAÇÃO PÚBLICA, PARA INSTALAÇÃO DE LUMINÁRIAS RGB COM TECNOLOGIA LED E REDE ELÉTRICA, PARA ILUMINAÇÃO CÊNICA DA PONTE DA BOA VISTA, NO BAIRRO DA BOA VISTA</v>
      </c>
      <c r="C74" s="14" t="str">
        <f>'1º TRIMESTRE'!C74</f>
        <v>532561/2020</v>
      </c>
      <c r="D74" s="14" t="str">
        <f>'1º TRIMESTRE'!D74</f>
        <v>FINISA</v>
      </c>
      <c r="E74" s="57">
        <f>'1º TRIMESTRE'!E74</f>
        <v>50000000</v>
      </c>
      <c r="F74" s="57">
        <f>'1º TRIMESTRE'!F74</f>
        <v>0</v>
      </c>
      <c r="G74" s="14" t="str">
        <f>'1º TRIMESTRE'!G74</f>
        <v>32.185.141/0001-12</v>
      </c>
      <c r="H74" s="14" t="str">
        <f>'1º TRIMESTRE'!H74</f>
        <v>CASTRO &amp; ROCHA LTDA</v>
      </c>
      <c r="I74" s="15" t="str">
        <f>'1º TRIMESTRE'!I74</f>
        <v>6-066/21</v>
      </c>
      <c r="J74" s="160">
        <f>'1º TRIMESTRE'!J74</f>
        <v>44559</v>
      </c>
      <c r="K74" s="15">
        <f>'1º TRIMESTRE'!K74</f>
        <v>90</v>
      </c>
      <c r="L74" s="16">
        <f>'1º TRIMESTRE'!L74</f>
        <v>279121.41</v>
      </c>
      <c r="M74" s="160">
        <f>'1º TRIMESTRE'!M74</f>
        <v>44708</v>
      </c>
      <c r="N74" s="15">
        <f>'1º TRIMESTRE'!N74</f>
        <v>59</v>
      </c>
      <c r="O74" s="16">
        <f>'1º TRIMESTRE'!O74</f>
        <v>0</v>
      </c>
      <c r="P74" s="171">
        <f>'1º TRIMESTRE'!P74</f>
        <v>0</v>
      </c>
      <c r="Q74" s="15" t="str">
        <f>'1º TRIMESTRE'!Q74</f>
        <v>4.4.90.39</v>
      </c>
      <c r="R74" s="16">
        <f>'1º TRIMESTRE'!R74+74149.48</f>
        <v>74149.48</v>
      </c>
      <c r="S74" s="16">
        <v>74149.48</v>
      </c>
      <c r="T74" s="16">
        <f>'1º TRIMESTRE'!T74+S74</f>
        <v>74149.48</v>
      </c>
      <c r="U74" s="16">
        <f>'1º TRIMESTRE'!U74+S74</f>
        <v>74149.48</v>
      </c>
      <c r="V74" s="16" t="str">
        <f>'1º TRIMESTRE'!V74</f>
        <v>andamento</v>
      </c>
    </row>
    <row r="75" spans="1:22" ht="63.75">
      <c r="A75" s="14" t="str">
        <f>'1º TRIMESTRE'!A75</f>
        <v>CONCORRÊNCIA / nº 014/2021</v>
      </c>
      <c r="B75" s="14" t="str">
        <f>'1º TRIMESTRE'!B75</f>
        <v>CONTRATAÇÃO DE EMPRESA DE ENGENHARIA, ESPECIALIZADA EM ILUMINAÇÃO PÚBLICA, PARA FORNECIMENTO E INSTALAÇÃO DE LUMINÁRIAS COM TECNOLOGIA LED RGB E REDE ELÉTRICA, PARA ILUMINAÇÃO CÊNICA DO PARQUE DONA LINDU, BOA VIAGEM</v>
      </c>
      <c r="C75" s="14" t="str">
        <f>'1º TRIMESTRE'!C75</f>
        <v>532561/2020</v>
      </c>
      <c r="D75" s="14" t="str">
        <f>'1º TRIMESTRE'!D75</f>
        <v>FINISA</v>
      </c>
      <c r="E75" s="57">
        <f>'1º TRIMESTRE'!E75</f>
        <v>50000000</v>
      </c>
      <c r="F75" s="57">
        <f>'1º TRIMESTRE'!F75</f>
        <v>0</v>
      </c>
      <c r="G75" s="14" t="str">
        <f>'1º TRIMESTRE'!G75</f>
        <v>03.834.750/0001-57</v>
      </c>
      <c r="H75" s="14" t="str">
        <f>'1º TRIMESTRE'!H75</f>
        <v>EIP SERVICOS DE ILUMINACAO LTDA</v>
      </c>
      <c r="I75" s="15" t="str">
        <f>'1º TRIMESTRE'!I75</f>
        <v>6-001/22</v>
      </c>
      <c r="J75" s="160">
        <f>'1º TRIMESTRE'!J75</f>
        <v>44599</v>
      </c>
      <c r="K75" s="15">
        <f>'1º TRIMESTRE'!K75</f>
        <v>150</v>
      </c>
      <c r="L75" s="16">
        <f>'1º TRIMESTRE'!L75</f>
        <v>2245061.82</v>
      </c>
      <c r="M75" s="160">
        <f>'1º TRIMESTRE'!M75+150</f>
        <v>44899</v>
      </c>
      <c r="N75" s="15">
        <f>'1º TRIMESTRE'!N75+150</f>
        <v>150</v>
      </c>
      <c r="O75" s="16">
        <f>'1º TRIMESTRE'!O75</f>
        <v>0</v>
      </c>
      <c r="P75" s="171">
        <f>'1º TRIMESTRE'!P75</f>
        <v>0</v>
      </c>
      <c r="Q75" s="15" t="str">
        <f>'1º TRIMESTRE'!Q75</f>
        <v>4.4.90.39</v>
      </c>
      <c r="R75" s="16">
        <f>'1º TRIMESTRE'!R75</f>
        <v>0</v>
      </c>
      <c r="S75" s="16">
        <v>0</v>
      </c>
      <c r="T75" s="16">
        <f>'1º TRIMESTRE'!T75+S75</f>
        <v>0</v>
      </c>
      <c r="U75" s="16">
        <f>'1º TRIMESTRE'!U75+S75</f>
        <v>0</v>
      </c>
      <c r="V75" s="16" t="str">
        <f>'1º TRIMESTRE'!V75</f>
        <v>andamento</v>
      </c>
    </row>
    <row r="76" spans="1:22" ht="42.75">
      <c r="A76" s="14" t="str">
        <f>'1º TRIMESTRE'!A76</f>
        <v>CONCORRÊNCIA / nº 012/2021</v>
      </c>
      <c r="B76" s="14" t="str">
        <f>'1º TRIMESTRE'!B76</f>
        <v>CONTRATAÇÃO DE EMPRESA DE ENGENHARIA, ESPECIALIZADA EM ILUMINAÇÃO PÚBLICA, PARA SERVIÇOS DE APOIO TÉCNICO PARA CIDADE DO RECIFE.</v>
      </c>
      <c r="C76" s="14">
        <f>'1º TRIMESTRE'!C76</f>
        <v>0</v>
      </c>
      <c r="D76" s="14">
        <f>'1º TRIMESTRE'!D76</f>
        <v>0</v>
      </c>
      <c r="E76" s="57">
        <f>'1º TRIMESTRE'!E76</f>
        <v>0</v>
      </c>
      <c r="F76" s="57">
        <f>'1º TRIMESTRE'!F76</f>
        <v>0</v>
      </c>
      <c r="G76" s="14" t="str">
        <f>'1º TRIMESTRE'!G76</f>
        <v>03.834.750/0001-57</v>
      </c>
      <c r="H76" s="14" t="str">
        <f>'1º TRIMESTRE'!H76</f>
        <v>EIP SERVICOS DE ILUMINACAO LTDA</v>
      </c>
      <c r="I76" s="15" t="str">
        <f>'1º TRIMESTRE'!I76</f>
        <v>6-002/22</v>
      </c>
      <c r="J76" s="160">
        <f>'1º TRIMESTRE'!J76</f>
        <v>44589</v>
      </c>
      <c r="K76" s="15">
        <f>'1º TRIMESTRE'!K76</f>
        <v>760</v>
      </c>
      <c r="L76" s="16">
        <f>'1º TRIMESTRE'!L76</f>
        <v>1418802</v>
      </c>
      <c r="M76" s="160">
        <f>'1º TRIMESTRE'!M76</f>
        <v>45349</v>
      </c>
      <c r="N76" s="15">
        <f>'1º TRIMESTRE'!N76</f>
        <v>0</v>
      </c>
      <c r="O76" s="16">
        <f>'1º TRIMESTRE'!O76</f>
        <v>130967.16</v>
      </c>
      <c r="P76" s="171">
        <f>'1º TRIMESTRE'!P76</f>
        <v>0</v>
      </c>
      <c r="Q76" s="15" t="str">
        <f>'1º TRIMESTRE'!Q76</f>
        <v>3.3.90.39</v>
      </c>
      <c r="R76" s="16">
        <f>'1º TRIMESTRE'!R76+210235.51</f>
        <v>243855.42</v>
      </c>
      <c r="S76" s="16">
        <v>210235.51</v>
      </c>
      <c r="T76" s="16">
        <f>'1º TRIMESTRE'!T76+S76</f>
        <v>243855.42</v>
      </c>
      <c r="U76" s="16">
        <f>'1º TRIMESTRE'!U76+S76</f>
        <v>243855.42</v>
      </c>
      <c r="V76" s="16" t="str">
        <f>'1º TRIMESTRE'!V76</f>
        <v>andamento</v>
      </c>
    </row>
    <row r="77" spans="1:22" ht="53.25">
      <c r="A77" s="14" t="str">
        <f>'1º TRIMESTRE'!A77</f>
        <v>CONCORRÊNCIA / nº 008/2021</v>
      </c>
      <c r="B77" s="14" t="str">
        <f>'1º TRIMESTRE'!B77</f>
        <v>CONTRATAÇÃO DE EMPRESA DE ENGENHARIA, ESPECIALIZADA EM ILUMINAÇÃO PÚBLICA, PARA EXECUÇÃO DA MANUTENÇÃO, PREVENTIVA E CORRETIVA, DO SISTEMA DE ILUMINAÇÃO CÊNICA DA CIDADE DO RECIFE</v>
      </c>
      <c r="C77" s="14" t="str">
        <f>'1º TRIMESTRE'!C77</f>
        <v>532561/2020</v>
      </c>
      <c r="D77" s="14" t="str">
        <f>'1º TRIMESTRE'!D77</f>
        <v>FINISA</v>
      </c>
      <c r="E77" s="57">
        <f>'1º TRIMESTRE'!E77</f>
        <v>50000000</v>
      </c>
      <c r="F77" s="57">
        <f>'1º TRIMESTRE'!F77</f>
        <v>0</v>
      </c>
      <c r="G77" s="14" t="str">
        <f>'1º TRIMESTRE'!G77</f>
        <v>03.834.750/0001-57</v>
      </c>
      <c r="H77" s="14" t="str">
        <f>'1º TRIMESTRE'!H77</f>
        <v>EIP SERVICOS DE ILUMINACAO LTDA</v>
      </c>
      <c r="I77" s="15" t="str">
        <f>'1º TRIMESTRE'!I77</f>
        <v>6-003/22</v>
      </c>
      <c r="J77" s="160">
        <f>'1º TRIMESTRE'!J77</f>
        <v>44589</v>
      </c>
      <c r="K77" s="15">
        <f>'1º TRIMESTRE'!K77</f>
        <v>760</v>
      </c>
      <c r="L77" s="16">
        <f>'1º TRIMESTRE'!L77</f>
        <v>3730846.67</v>
      </c>
      <c r="M77" s="160">
        <f>'1º TRIMESTRE'!M77</f>
        <v>45349</v>
      </c>
      <c r="N77" s="15">
        <f>'1º TRIMESTRE'!N77</f>
        <v>0</v>
      </c>
      <c r="O77" s="16">
        <f>'1º TRIMESTRE'!O77</f>
        <v>0</v>
      </c>
      <c r="P77" s="171">
        <f>'1º TRIMESTRE'!P77</f>
        <v>0</v>
      </c>
      <c r="Q77" s="15" t="str">
        <f>'1º TRIMESTRE'!Q77</f>
        <v>4.4.90.39</v>
      </c>
      <c r="R77" s="16">
        <f>'1º TRIMESTRE'!R77+547828.63</f>
        <v>547828.63</v>
      </c>
      <c r="S77" s="16">
        <v>547828.63</v>
      </c>
      <c r="T77" s="16">
        <f>'1º TRIMESTRE'!T77+S77</f>
        <v>547828.63</v>
      </c>
      <c r="U77" s="16">
        <f>'1º TRIMESTRE'!U77+S77</f>
        <v>547828.63</v>
      </c>
      <c r="V77" s="16" t="str">
        <f>'1º TRIMESTRE'!V77</f>
        <v>andamento</v>
      </c>
    </row>
    <row r="78" spans="1:22" ht="42.75">
      <c r="A78" s="14" t="str">
        <f>'1º TRIMESTRE'!A78</f>
        <v>Pregão Eletrônico Licitação: 037/2021</v>
      </c>
      <c r="B78" s="14" t="str">
        <f>'1º TRIMESTRE'!B78</f>
        <v>SERVIÇOS DE INFRAESTURURA PARA IMPLANTAÇÃO DO MEMORIAL JUDAICO EM HONRA AO POVO JUDEU, NA PRAÇA TIRADENTES BAIRRO DO RECIFE, RECIFE - PE</v>
      </c>
      <c r="C78" s="14">
        <f>'1º TRIMESTRE'!C78</f>
        <v>0</v>
      </c>
      <c r="D78" s="14">
        <f>'1º TRIMESTRE'!D78</f>
        <v>0</v>
      </c>
      <c r="E78" s="57">
        <f>'1º TRIMESTRE'!E78</f>
        <v>0</v>
      </c>
      <c r="F78" s="57">
        <f>'1º TRIMESTRE'!F78</f>
        <v>0</v>
      </c>
      <c r="G78" s="14" t="str">
        <f>'1º TRIMESTRE'!G78</f>
        <v>22.257.930/0001-68</v>
      </c>
      <c r="H78" s="14" t="str">
        <f>'1º TRIMESTRE'!H78</f>
        <v>G O DOS SANTOS CONSTRUCOES EIRELI</v>
      </c>
      <c r="I78" s="15" t="str">
        <f>'1º TRIMESTRE'!I78</f>
        <v>6-004/22</v>
      </c>
      <c r="J78" s="160">
        <f>'1º TRIMESTRE'!J78</f>
        <v>44602</v>
      </c>
      <c r="K78" s="15">
        <f>'1º TRIMESTRE'!K78</f>
        <v>165</v>
      </c>
      <c r="L78" s="16">
        <f>'1º TRIMESTRE'!L78</f>
        <v>119999.98</v>
      </c>
      <c r="M78" s="160">
        <f>'1º TRIMESTRE'!M78</f>
        <v>44767</v>
      </c>
      <c r="N78" s="15">
        <f>'1º TRIMESTRE'!N78</f>
        <v>0</v>
      </c>
      <c r="O78" s="16">
        <f>'1º TRIMESTRE'!O78</f>
        <v>0</v>
      </c>
      <c r="P78" s="171">
        <f>'1º TRIMESTRE'!P78</f>
        <v>0</v>
      </c>
      <c r="Q78" s="15" t="str">
        <f>'1º TRIMESTRE'!Q78</f>
        <v>4.4.90.39</v>
      </c>
      <c r="R78" s="16">
        <f>'1º TRIMESTRE'!R78+34479.7</f>
        <v>34479.7</v>
      </c>
      <c r="S78" s="16"/>
      <c r="T78" s="16">
        <f>'1º TRIMESTRE'!T78+S78</f>
        <v>0</v>
      </c>
      <c r="U78" s="16">
        <f>'1º TRIMESTRE'!U78+S78</f>
        <v>0</v>
      </c>
      <c r="V78" s="16" t="s">
        <v>31</v>
      </c>
    </row>
    <row r="79" spans="1:22" ht="63.75">
      <c r="A79" s="14" t="str">
        <f>'1º TRIMESTRE'!A79</f>
        <v>Tomada de Preço Licitação: 009/2021</v>
      </c>
      <c r="B79" s="14" t="str">
        <f>'1º TRIMESTRE'!B79</f>
        <v>SERVIÇOS DE REFORMA DE DIVERSOS PRÉDIOS PÚBLICOS MANTIDOS PELA EMLURB: LOTE 01 DLU E GOFIS DA RPA 01 E RPA 06, LOTE 02 DIVERSOS BANHEIROS PÚBLICOS, SEDE DA EMLURB E LABORATÓRIO. LOCALIZADOS EM DIVERSOS BAIRROS DA CIDADE DO RECIFE PE</v>
      </c>
      <c r="C79" s="14">
        <f>'1º TRIMESTRE'!C79</f>
        <v>0</v>
      </c>
      <c r="D79" s="14">
        <f>'1º TRIMESTRE'!D79</f>
        <v>0</v>
      </c>
      <c r="E79" s="57">
        <f>'1º TRIMESTRE'!E79</f>
        <v>0</v>
      </c>
      <c r="F79" s="57">
        <f>'1º TRIMESTRE'!F79</f>
        <v>0</v>
      </c>
      <c r="G79" s="14" t="str">
        <f>'1º TRIMESTRE'!G79</f>
        <v>30.700.985/0001-29</v>
      </c>
      <c r="H79" s="14" t="str">
        <f>'1º TRIMESTRE'!H79</f>
        <v>CONSTRUTORA MANASSU LTDA</v>
      </c>
      <c r="I79" s="15" t="str">
        <f>'1º TRIMESTRE'!I79</f>
        <v>6-005/22</v>
      </c>
      <c r="J79" s="160">
        <f>'1º TRIMESTRE'!J79</f>
        <v>44606</v>
      </c>
      <c r="K79" s="15">
        <f>'1º TRIMESTRE'!K79</f>
        <v>270</v>
      </c>
      <c r="L79" s="16">
        <f>'1º TRIMESTRE'!L79</f>
        <v>493303.08</v>
      </c>
      <c r="M79" s="160">
        <f>'1º TRIMESTRE'!M79</f>
        <v>44876</v>
      </c>
      <c r="N79" s="15">
        <f>'1º TRIMESTRE'!N79</f>
        <v>0</v>
      </c>
      <c r="O79" s="16">
        <f>'1º TRIMESTRE'!O79</f>
        <v>0</v>
      </c>
      <c r="P79" s="171">
        <f>'1º TRIMESTRE'!P79</f>
        <v>0</v>
      </c>
      <c r="Q79" s="15" t="str">
        <f>'1º TRIMESTRE'!Q79</f>
        <v>4.4.90.39</v>
      </c>
      <c r="R79" s="16">
        <f>'1º TRIMESTRE'!R79+151127.91</f>
        <v>151127.91</v>
      </c>
      <c r="S79" s="16">
        <v>55064.63</v>
      </c>
      <c r="T79" s="16">
        <f>'1º TRIMESTRE'!T79+S79</f>
        <v>55064.63</v>
      </c>
      <c r="U79" s="16">
        <f>'1º TRIMESTRE'!U79+S79</f>
        <v>55064.63</v>
      </c>
      <c r="V79" s="16" t="str">
        <f>'1º TRIMESTRE'!V79</f>
        <v>andamento</v>
      </c>
    </row>
    <row r="80" spans="1:22" ht="63.75">
      <c r="A80" s="14" t="str">
        <f>'1º TRIMESTRE'!A80</f>
        <v>CREDENCIAMENTO Licitação: 001/2021</v>
      </c>
      <c r="B80" s="14" t="str">
        <f>'1º TRIMESTRE'!B80</f>
        <v>CREDENCIAMENTO DE EMPRESA ESPECIALIZADA EM ENGENHARIA SANITÁRIA PARA RECOLHIMENTO, TRATAMENTO E DISPOSIÇÃO FINAL AMBIENTALMENTE CORRETO DE LÍQUIDOS ORIUNDOS DO ATERRO DESATIVADO DA MURIBECA SOB RESPONSABILIDADE DA EMLURB</v>
      </c>
      <c r="C80" s="14">
        <f>'1º TRIMESTRE'!C80</f>
        <v>0</v>
      </c>
      <c r="D80" s="14">
        <f>'1º TRIMESTRE'!D80</f>
        <v>0</v>
      </c>
      <c r="E80" s="57">
        <f>'1º TRIMESTRE'!E80</f>
        <v>0</v>
      </c>
      <c r="F80" s="57">
        <f>'1º TRIMESTRE'!F80</f>
        <v>0</v>
      </c>
      <c r="G80" s="14" t="str">
        <f>'1º TRIMESTRE'!G80</f>
        <v>08.165.091/0002-08</v>
      </c>
      <c r="H80" s="14" t="str">
        <f>'1º TRIMESTRE'!H80</f>
        <v>ECOPESA AMBIENTAL S/A                   </v>
      </c>
      <c r="I80" s="15" t="str">
        <f>'1º TRIMESTRE'!I80</f>
        <v>6-006/22</v>
      </c>
      <c r="J80" s="160">
        <f>'1º TRIMESTRE'!J80</f>
        <v>44606</v>
      </c>
      <c r="K80" s="15">
        <f>'1º TRIMESTRE'!K80</f>
        <v>395</v>
      </c>
      <c r="L80" s="16">
        <f>'1º TRIMESTRE'!L80</f>
        <v>1392960</v>
      </c>
      <c r="M80" s="160">
        <f>'1º TRIMESTRE'!M80</f>
        <v>45001</v>
      </c>
      <c r="N80" s="15">
        <f>'1º TRIMESTRE'!N80</f>
        <v>0</v>
      </c>
      <c r="O80" s="16">
        <f>'1º TRIMESTRE'!O80</f>
        <v>0</v>
      </c>
      <c r="P80" s="171">
        <f>'1º TRIMESTRE'!P80</f>
        <v>0</v>
      </c>
      <c r="Q80" s="15" t="str">
        <f>'1º TRIMESTRE'!Q80</f>
        <v>3.3.90.39</v>
      </c>
      <c r="R80" s="16">
        <f>'1º TRIMESTRE'!R80+571055.56</f>
        <v>775008.1200000001</v>
      </c>
      <c r="S80" s="16">
        <v>571055.56</v>
      </c>
      <c r="T80" s="16">
        <f>'1º TRIMESTRE'!T80+S80</f>
        <v>775008.1200000001</v>
      </c>
      <c r="U80" s="16">
        <f>'1º TRIMESTRE'!U80+S80</f>
        <v>775008.1200000001</v>
      </c>
      <c r="V80" s="16" t="str">
        <f>'1º TRIMESTRE'!V80</f>
        <v>andamento</v>
      </c>
    </row>
    <row r="81" spans="1:22" ht="63.75">
      <c r="A81" s="14" t="str">
        <f>'1º TRIMESTRE'!A81</f>
        <v>Tomada de Preço Licitação: 011/2021</v>
      </c>
      <c r="B81" s="14" t="str">
        <f>'1º TRIMESTRE'!B81</f>
        <v>CONTRATAÇÃO DE EMPRESA DE ENGENHARIA, ESPECIALIZADA EM ILUMINAÇÃO PÚBLICA, PARA FORNECIMENTO DE LUMINÁRIAS COM TECNOLOGIA LED RGB E REDE ELÉTRICA, PARA ILUMINAÇÃO CÊNICA DA PASSARELA JOANA BEZERRA.</v>
      </c>
      <c r="C81" s="14" t="str">
        <f>'1º TRIMESTRE'!C81</f>
        <v>532561/2020</v>
      </c>
      <c r="D81" s="14" t="str">
        <f>'1º TRIMESTRE'!D81</f>
        <v>FINISA</v>
      </c>
      <c r="E81" s="57">
        <f>'1º TRIMESTRE'!E81</f>
        <v>50000000</v>
      </c>
      <c r="F81" s="57">
        <f>'1º TRIMESTRE'!F81</f>
        <v>0</v>
      </c>
      <c r="G81" s="14" t="str">
        <f>'1º TRIMESTRE'!G81</f>
        <v>01.346.561/0001-00</v>
      </c>
      <c r="H81" s="14" t="str">
        <f>'1º TRIMESTRE'!H81</f>
        <v>VASCONCELOS E SANTOS LTDA</v>
      </c>
      <c r="I81" s="15" t="str">
        <f>'1º TRIMESTRE'!I81</f>
        <v>6-007/22</v>
      </c>
      <c r="J81" s="160">
        <f>'1º TRIMESTRE'!J81</f>
        <v>44610</v>
      </c>
      <c r="K81" s="15">
        <f>'1º TRIMESTRE'!K81</f>
        <v>150</v>
      </c>
      <c r="L81" s="16">
        <f>'1º TRIMESTRE'!L81</f>
        <v>811940.61</v>
      </c>
      <c r="M81" s="160">
        <f>'1º TRIMESTRE'!M81</f>
        <v>44760</v>
      </c>
      <c r="N81" s="15">
        <f>'1º TRIMESTRE'!N81</f>
        <v>0</v>
      </c>
      <c r="O81" s="16">
        <f>'1º TRIMESTRE'!O81</f>
        <v>0</v>
      </c>
      <c r="P81" s="171">
        <f>'1º TRIMESTRE'!P81</f>
        <v>0</v>
      </c>
      <c r="Q81" s="15" t="str">
        <f>'1º TRIMESTRE'!Q81</f>
        <v>4.4.90.39</v>
      </c>
      <c r="R81" s="16">
        <f>'1º TRIMESTRE'!R81</f>
        <v>0</v>
      </c>
      <c r="S81" s="16">
        <v>0</v>
      </c>
      <c r="T81" s="16">
        <f>'1º TRIMESTRE'!T81+S81</f>
        <v>0</v>
      </c>
      <c r="U81" s="16">
        <f>'1º TRIMESTRE'!U81+S81</f>
        <v>0</v>
      </c>
      <c r="V81" s="16" t="str">
        <f>'1º TRIMESTRE'!V81</f>
        <v>andamento</v>
      </c>
    </row>
    <row r="82" spans="1:22" ht="31.5">
      <c r="A82" s="14" t="str">
        <f>'1º TRIMESTRE'!A82</f>
        <v>CONCORRÊNCIA / nº 017/2021</v>
      </c>
      <c r="B82" s="14" t="str">
        <f>'1º TRIMESTRE'!B82</f>
        <v>IMPLANTAÇÃO DE TRECHO DE DRENAGEM DA RUA VINTE E UM DE ABRIL COM A RUA LÍDIA GUIMARÃES, EM AFOGADOS RECIE-PE</v>
      </c>
      <c r="C82" s="14">
        <f>'1º TRIMESTRE'!C82</f>
        <v>0</v>
      </c>
      <c r="D82" s="14">
        <f>'1º TRIMESTRE'!D82</f>
        <v>0</v>
      </c>
      <c r="E82" s="57">
        <f>'1º TRIMESTRE'!E82</f>
        <v>0</v>
      </c>
      <c r="F82" s="57">
        <f>'1º TRIMESTRE'!F82</f>
        <v>0</v>
      </c>
      <c r="G82" s="14" t="str">
        <f>'1º TRIMESTRE'!G82</f>
        <v>10.893.105/0001-70</v>
      </c>
      <c r="H82" s="14" t="str">
        <f>'1º TRIMESTRE'!H82</f>
        <v>AGILIS CONSTRUTORA LTDA</v>
      </c>
      <c r="I82" s="15" t="str">
        <f>'1º TRIMESTRE'!I82</f>
        <v>6-008/22</v>
      </c>
      <c r="J82" s="160">
        <f>'1º TRIMESTRE'!J82</f>
        <v>44615</v>
      </c>
      <c r="K82" s="15">
        <f>'1º TRIMESTRE'!K82</f>
        <v>180</v>
      </c>
      <c r="L82" s="16">
        <f>'1º TRIMESTRE'!L82</f>
        <v>477968.09</v>
      </c>
      <c r="M82" s="160">
        <f>'1º TRIMESTRE'!M82</f>
        <v>44795</v>
      </c>
      <c r="N82" s="15">
        <f>'1º TRIMESTRE'!N82</f>
        <v>0</v>
      </c>
      <c r="O82" s="16">
        <f>'1º TRIMESTRE'!O82+54720.49</f>
        <v>54720.49</v>
      </c>
      <c r="P82" s="171">
        <f>'1º TRIMESTRE'!P82</f>
        <v>0</v>
      </c>
      <c r="Q82" s="15" t="str">
        <f>'1º TRIMESTRE'!Q82</f>
        <v>4.4.90.39</v>
      </c>
      <c r="R82" s="16">
        <f>'1º TRIMESTRE'!R82+231014.67</f>
        <v>497738.57000000007</v>
      </c>
      <c r="S82" s="16">
        <v>231014.67</v>
      </c>
      <c r="T82" s="16">
        <f>'1º TRIMESTRE'!T82+S82</f>
        <v>497738.57000000007</v>
      </c>
      <c r="U82" s="16">
        <f>'1º TRIMESTRE'!U82+S82</f>
        <v>497738.57000000007</v>
      </c>
      <c r="V82" s="16" t="str">
        <f>'1º TRIMESTRE'!V82</f>
        <v>andamento</v>
      </c>
    </row>
    <row r="83" spans="1:22" ht="75">
      <c r="A83" s="14" t="str">
        <f>'1º TRIMESTRE'!A83</f>
        <v>CONCORRÊNCIA / nº 018/2021</v>
      </c>
      <c r="B83" s="14" t="str">
        <f>'1º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14" t="str">
        <f>'1º TRIMESTRE'!C83</f>
        <v>899753/2020</v>
      </c>
      <c r="D83" s="14" t="str">
        <f>'1º TRIMESTRE'!D83</f>
        <v>Emenda Parlamentar Federal</v>
      </c>
      <c r="E83" s="57">
        <f>'1º TRIMESTRE'!E83</f>
        <v>767341</v>
      </c>
      <c r="F83" s="57">
        <f>'1º TRIMESTRE'!F83</f>
        <v>8000</v>
      </c>
      <c r="G83" s="14" t="str">
        <f>'1º TRIMESTRE'!G83</f>
        <v>10.893.105/0001-70</v>
      </c>
      <c r="H83" s="14" t="str">
        <f>'1º TRIMESTRE'!H83</f>
        <v>AGILIS CONSTRUTORA LTDA</v>
      </c>
      <c r="I83" s="15" t="str">
        <f>'1º TRIMESTRE'!I83</f>
        <v>6-009/22</v>
      </c>
      <c r="J83" s="160">
        <f>'1º TRIMESTRE'!J83</f>
        <v>44630</v>
      </c>
      <c r="K83" s="15">
        <f>'1º TRIMESTRE'!K83</f>
        <v>180</v>
      </c>
      <c r="L83" s="16">
        <f>'1º TRIMESTRE'!L83</f>
        <v>730428.03</v>
      </c>
      <c r="M83" s="160">
        <f>'1º TRIMESTRE'!M83</f>
        <v>44810</v>
      </c>
      <c r="N83" s="15">
        <f>'1º TRIMESTRE'!N83</f>
        <v>0</v>
      </c>
      <c r="O83" s="16">
        <f>'1º TRIMESTRE'!O83</f>
        <v>0</v>
      </c>
      <c r="P83" s="171">
        <f>'1º TRIMESTRE'!P83</f>
        <v>0</v>
      </c>
      <c r="Q83" s="15" t="str">
        <f>'1º TRIMESTRE'!Q83</f>
        <v>4.4.90.39</v>
      </c>
      <c r="R83" s="16">
        <f>'1º TRIMESTRE'!R83</f>
        <v>0</v>
      </c>
      <c r="S83" s="16">
        <v>0</v>
      </c>
      <c r="T83" s="16">
        <f>'1º TRIMESTRE'!T83+S83</f>
        <v>0</v>
      </c>
      <c r="U83" s="16">
        <f>'1º TRIMESTRE'!U83+S83</f>
        <v>0</v>
      </c>
      <c r="V83" s="16" t="s">
        <v>31</v>
      </c>
    </row>
    <row r="84" spans="1:22" ht="63.75">
      <c r="A84" s="14" t="str">
        <f>'1º TRIMESTRE'!A84</f>
        <v>Pregão Eletrônico Licitação: 002/2022</v>
      </c>
      <c r="B84" s="14" t="str">
        <f>'1º TRIMESTRE'!B84</f>
        <v>CONTRATAÇÃO DE PESSOA S JURÍDICA S ESPECIALIZADA EM ENGENHARIA SANITÁRIA PARA RECEBIMENTO, TRATAMENTO E DISPOSIÇÃO FINAL DE RESÍDUOS DE CONSTRUÇÃO RCC CLASSE A INERTE COLETADOS PELA EMLURB NO MUNICÍPIO DO RECIFE</v>
      </c>
      <c r="C84" s="14">
        <f>'1º TRIMESTRE'!C84</f>
        <v>0</v>
      </c>
      <c r="D84" s="14">
        <f>'1º TRIMESTRE'!D84</f>
        <v>0</v>
      </c>
      <c r="E84" s="57">
        <f>'1º TRIMESTRE'!E84</f>
        <v>0</v>
      </c>
      <c r="F84" s="57">
        <f>'1º TRIMESTRE'!F84</f>
        <v>0</v>
      </c>
      <c r="G84" s="14" t="str">
        <f>'1º TRIMESTRE'!G84</f>
        <v>10.877.732/0001-18</v>
      </c>
      <c r="H84" s="14" t="str">
        <f>'1º TRIMESTRE'!H84</f>
        <v>CICLO AMBIENTAL LTDA</v>
      </c>
      <c r="I84" s="15" t="str">
        <f>'1º TRIMESTRE'!I84</f>
        <v>6-012/22</v>
      </c>
      <c r="J84" s="160">
        <f>'1º TRIMESTRE'!J84</f>
        <v>44635</v>
      </c>
      <c r="K84" s="15">
        <f>'1º TRIMESTRE'!K84</f>
        <v>1890</v>
      </c>
      <c r="L84" s="16">
        <f>'1º TRIMESTRE'!L84</f>
        <v>28992600</v>
      </c>
      <c r="M84" s="160">
        <f>'1º TRIMESTRE'!M84</f>
        <v>46525</v>
      </c>
      <c r="N84" s="15">
        <f>'1º TRIMESTRE'!N84</f>
        <v>0</v>
      </c>
      <c r="O84" s="16">
        <f>'1º TRIMESTRE'!O84</f>
        <v>0</v>
      </c>
      <c r="P84" s="171">
        <f>'1º TRIMESTRE'!P84</f>
        <v>0</v>
      </c>
      <c r="Q84" s="15" t="str">
        <f>'1º TRIMESTRE'!Q84</f>
        <v>3.3.90.39</v>
      </c>
      <c r="R84" s="16">
        <f>'1º TRIMESTRE'!R84+965685.86</f>
        <v>965685.86</v>
      </c>
      <c r="S84" s="16">
        <v>965685.86</v>
      </c>
      <c r="T84" s="16">
        <f>'1º TRIMESTRE'!T84+S84</f>
        <v>965685.86</v>
      </c>
      <c r="U84" s="16">
        <f>'1º TRIMESTRE'!U84+S84</f>
        <v>965685.86</v>
      </c>
      <c r="V84" s="16" t="str">
        <f>'1º TRIMESTRE'!V84</f>
        <v>andamento</v>
      </c>
    </row>
    <row r="85" spans="1:22" ht="75">
      <c r="A85" s="14" t="str">
        <f>'1º TRIMESTRE'!A85</f>
        <v>CONCORRÊNCIA / nº 018/2021</v>
      </c>
      <c r="B85" s="14" t="str">
        <f>'1º TRIMESTRE'!B85</f>
        <v>CONTRATAÇÃO DE EMPRESA ESPCIALIZADA NO RAMO DE ENGENHARIA PARA EXECUÇÃO DOS SERVIÇOS DE RECUPERAÇÃO DE REDE DE DRENAGEM E PAVIMENTAÇÃO DA RUA ACAJUTIBA, NO TRECHO ENTRE AS RUAS GÁLIA E PINTO FERREIRA, LOCALIZADAS NO BAIRRO DE BONGI, RECIFE - PE</v>
      </c>
      <c r="C85" s="14">
        <f>'1º TRIMESTRE'!C85</f>
        <v>0</v>
      </c>
      <c r="D85" s="14" t="str">
        <f>'1º TRIMESTRE'!D85</f>
        <v>Emenda Parlamentar Federal - TRANSFERÊNCIA  ESPECIAL - FELIPE CARRERA</v>
      </c>
      <c r="E85" s="57">
        <f>'1º TRIMESTRE'!E85</f>
        <v>3139993</v>
      </c>
      <c r="F85" s="57">
        <f>'1º TRIMESTRE'!F85</f>
        <v>0</v>
      </c>
      <c r="G85" s="14" t="str">
        <f>'1º TRIMESTRE'!G85</f>
        <v>03.608.944/0001-34</v>
      </c>
      <c r="H85" s="14" t="str">
        <f>'1º TRIMESTRE'!H85</f>
        <v>JEPAC CONSTRUCOES LTDA</v>
      </c>
      <c r="I85" s="15" t="str">
        <f>'1º TRIMESTRE'!I85</f>
        <v>6-013/22</v>
      </c>
      <c r="J85" s="160">
        <f>'1º TRIMESTRE'!J85</f>
        <v>44650</v>
      </c>
      <c r="K85" s="15">
        <f>'1º TRIMESTRE'!K85</f>
        <v>150</v>
      </c>
      <c r="L85" s="16">
        <f>'1º TRIMESTRE'!L85</f>
        <v>789983.51</v>
      </c>
      <c r="M85" s="160">
        <f>'1º TRIMESTRE'!M85</f>
        <v>44800</v>
      </c>
      <c r="N85" s="15">
        <f>'1º TRIMESTRE'!N85</f>
        <v>0</v>
      </c>
      <c r="O85" s="16">
        <f>'1º TRIMESTRE'!O85</f>
        <v>0</v>
      </c>
      <c r="P85" s="171">
        <f>'1º TRIMESTRE'!P85</f>
        <v>0</v>
      </c>
      <c r="Q85" s="15" t="str">
        <f>'1º TRIMESTRE'!Q85</f>
        <v>4.4.90.39</v>
      </c>
      <c r="R85" s="16">
        <f>'1º TRIMESTRE'!R85+327579.37</f>
        <v>327579.37</v>
      </c>
      <c r="S85" s="16">
        <v>115915.95</v>
      </c>
      <c r="T85" s="16">
        <f>'1º TRIMESTRE'!T85+S85</f>
        <v>115915.95</v>
      </c>
      <c r="U85" s="16">
        <f>'1º TRIMESTRE'!U85+S85</f>
        <v>115915.95</v>
      </c>
      <c r="V85" s="16" t="str">
        <f>'1º TRIMESTRE'!V85</f>
        <v>andamento</v>
      </c>
    </row>
    <row r="86" spans="1:22" ht="42.75">
      <c r="A86" s="14" t="str">
        <f>'1º TRIMESTRE'!A86</f>
        <v>CONCORRÊNCIA / nº 001/2021</v>
      </c>
      <c r="B86" s="14" t="str">
        <f>'1º TRIMESTRE'!B86</f>
        <v>CONTRATAÇÃO DE EMPRESA SANITÁRIA ESPECIALIZADA PARA A EXECUÇÃO DOS SERVIÇOS DE COLETA E LIMPEZA URBANA NO MUNICÍPIO DO RECIFE. LOTE 1- A</v>
      </c>
      <c r="C86" s="14">
        <f>'1º TRIMESTRE'!C86</f>
        <v>0</v>
      </c>
      <c r="D86" s="14">
        <f>'1º TRIMESTRE'!D86</f>
        <v>0</v>
      </c>
      <c r="E86" s="57">
        <f>'1º TRIMESTRE'!E86</f>
        <v>0</v>
      </c>
      <c r="F86" s="57">
        <f>'1º TRIMESTRE'!F86</f>
        <v>0</v>
      </c>
      <c r="G86" s="14" t="str">
        <f>'1º TRIMESTRE'!G86</f>
        <v>02.536.066/0015-21</v>
      </c>
      <c r="H86" s="14" t="str">
        <f>'1º TRIMESTRE'!H86</f>
        <v>VITAL ENGENHARIA AMBIENTAL S/A</v>
      </c>
      <c r="I86" s="15" t="str">
        <f>'1º TRIMESTRE'!I86</f>
        <v>6-014/22</v>
      </c>
      <c r="J86" s="160">
        <f>'1º TRIMESTRE'!J86</f>
        <v>44649</v>
      </c>
      <c r="K86" s="15">
        <f>'1º TRIMESTRE'!K86</f>
        <v>1825</v>
      </c>
      <c r="L86" s="16">
        <f>'1º TRIMESTRE'!L86</f>
        <v>201897816.06</v>
      </c>
      <c r="M86" s="160">
        <f>'1º TRIMESTRE'!M86</f>
        <v>46474</v>
      </c>
      <c r="N86" s="15">
        <f>'1º TRIMESTRE'!N86</f>
        <v>0</v>
      </c>
      <c r="O86" s="16">
        <f>'1º TRIMESTRE'!O86</f>
        <v>0</v>
      </c>
      <c r="P86" s="172">
        <v>47481450.66999999</v>
      </c>
      <c r="Q86" s="15" t="str">
        <f>'1º TRIMESTRE'!Q86</f>
        <v>3.3.90.39</v>
      </c>
      <c r="R86" s="16">
        <f>'1º TRIMESTRE'!R86+6046902.75</f>
        <v>6046902.75</v>
      </c>
      <c r="S86" s="16">
        <v>6046902.75</v>
      </c>
      <c r="T86" s="16">
        <f>'1º TRIMESTRE'!T86+S86</f>
        <v>6046902.75</v>
      </c>
      <c r="U86" s="16">
        <f>'1º TRIMESTRE'!U86+S86</f>
        <v>6046902.75</v>
      </c>
      <c r="V86" s="16" t="str">
        <f>'1º TRIMESTRE'!V86</f>
        <v>andamento</v>
      </c>
    </row>
    <row r="87" spans="1:22" ht="42.75">
      <c r="A87" s="14" t="str">
        <f>'1º TRIMESTRE'!A87</f>
        <v>CONCORRÊNCIA / nº 001/2021</v>
      </c>
      <c r="B87" s="14" t="str">
        <f>'1º TRIMESTRE'!B87</f>
        <v>CONTRATAÇÃO DE EMPRESA SANITÁRIA ESPECIALIZADA PARA A EXECUÇÃO DOS SERVIÇOS DE COLETA E LIMPEZA URBANA NO MUNICÍPIO DO RECIFE. LOTE 1-B</v>
      </c>
      <c r="C87" s="14">
        <f>'1º TRIMESTRE'!C87</f>
        <v>0</v>
      </c>
      <c r="D87" s="14">
        <f>'1º TRIMESTRE'!D87</f>
        <v>0</v>
      </c>
      <c r="E87" s="57">
        <f>'1º TRIMESTRE'!E87</f>
        <v>0</v>
      </c>
      <c r="F87" s="57">
        <f>'1º TRIMESTRE'!F87</f>
        <v>0</v>
      </c>
      <c r="G87" s="14" t="str">
        <f>'1º TRIMESTRE'!G87</f>
        <v>12.854.865/0001-02</v>
      </c>
      <c r="H87" s="14" t="str">
        <f>'1º TRIMESTRE'!H87</f>
        <v>COELHO DE  ANDRADE ENGENHARIA LTDA</v>
      </c>
      <c r="I87" s="15" t="str">
        <f>'1º TRIMESTRE'!I87</f>
        <v>6-015/22</v>
      </c>
      <c r="J87" s="160">
        <f>'1º TRIMESTRE'!J87</f>
        <v>44649</v>
      </c>
      <c r="K87" s="15">
        <f>'1º TRIMESTRE'!K87</f>
        <v>1825</v>
      </c>
      <c r="L87" s="16">
        <f>'1º TRIMESTRE'!L87</f>
        <v>86512024.75</v>
      </c>
      <c r="M87" s="160">
        <f>'1º TRIMESTRE'!M87</f>
        <v>46474</v>
      </c>
      <c r="N87" s="15">
        <f>'1º TRIMESTRE'!N87</f>
        <v>0</v>
      </c>
      <c r="O87" s="16">
        <f>'1º TRIMESTRE'!O87</f>
        <v>0</v>
      </c>
      <c r="P87" s="173">
        <v>20345696.980000004</v>
      </c>
      <c r="Q87" s="15" t="str">
        <f>'1º TRIMESTRE'!Q87</f>
        <v>3.3.90.39</v>
      </c>
      <c r="R87" s="16">
        <f>'1º TRIMESTRE'!R87+2591437.61</f>
        <v>2591437.61</v>
      </c>
      <c r="S87" s="16">
        <v>2591437.61</v>
      </c>
      <c r="T87" s="16">
        <f>'1º TRIMESTRE'!T87+S87</f>
        <v>2591437.61</v>
      </c>
      <c r="U87" s="16">
        <f>'1º TRIMESTRE'!U87+S87</f>
        <v>2591437.61</v>
      </c>
      <c r="V87" s="16" t="str">
        <f>'1º TRIMESTRE'!V87</f>
        <v>andamento</v>
      </c>
    </row>
    <row r="88" spans="1:22" ht="42.75">
      <c r="A88" s="14" t="str">
        <f>'1º TRIMESTRE'!A88</f>
        <v>CONCORRÊNCIA / nº 001/2021</v>
      </c>
      <c r="B88" s="14" t="str">
        <f>'1º TRIMESTRE'!B88</f>
        <v>CONTRATAÇÃO DE EMPRESA SANITÁRIA ESPECIALIZADA PARA A EXECUÇÃO DOS SERVIÇOS DE COLETA E LIMPEZA URBANA NO MUNICÍPIO DO RECIFE. LOTE 2- A</v>
      </c>
      <c r="C88" s="14">
        <f>'1º TRIMESTRE'!C88</f>
        <v>0</v>
      </c>
      <c r="D88" s="14">
        <f>'1º TRIMESTRE'!D88</f>
        <v>0</v>
      </c>
      <c r="E88" s="57">
        <f>'1º TRIMESTRE'!E88</f>
        <v>0</v>
      </c>
      <c r="F88" s="57">
        <f>'1º TRIMESTRE'!F88</f>
        <v>0</v>
      </c>
      <c r="G88" s="14" t="str">
        <f>'1º TRIMESTRE'!G88</f>
        <v>02.536.066/0015-21</v>
      </c>
      <c r="H88" s="14" t="str">
        <f>'1º TRIMESTRE'!H88</f>
        <v>VITAL ENGENHARIA AMBIENTAL S/A</v>
      </c>
      <c r="I88" s="15" t="str">
        <f>'1º TRIMESTRE'!I88</f>
        <v>6-016/22</v>
      </c>
      <c r="J88" s="160">
        <f>'1º TRIMESTRE'!J88</f>
        <v>44649</v>
      </c>
      <c r="K88" s="15">
        <f>'1º TRIMESTRE'!K88</f>
        <v>1825</v>
      </c>
      <c r="L88" s="16">
        <f>'1º TRIMESTRE'!L88</f>
        <v>480063123.51</v>
      </c>
      <c r="M88" s="160">
        <f>'1º TRIMESTRE'!M88</f>
        <v>46474</v>
      </c>
      <c r="N88" s="15">
        <f>'1º TRIMESTRE'!N88</f>
        <v>0</v>
      </c>
      <c r="O88" s="16">
        <f>'1º TRIMESTRE'!O88</f>
        <v>0</v>
      </c>
      <c r="P88" s="174">
        <v>112521950.78999996</v>
      </c>
      <c r="Q88" s="15" t="str">
        <f>'1º TRIMESTRE'!Q88</f>
        <v>3.3.90.39</v>
      </c>
      <c r="R88" s="16">
        <f>'1º TRIMESTRE'!R88+16341088.59</f>
        <v>16341088.59</v>
      </c>
      <c r="S88" s="16">
        <v>16341088.59</v>
      </c>
      <c r="T88" s="16">
        <f>'1º TRIMESTRE'!T88+S88</f>
        <v>16341088.59</v>
      </c>
      <c r="U88" s="16">
        <f>'1º TRIMESTRE'!U88+S88</f>
        <v>16341088.59</v>
      </c>
      <c r="V88" s="16" t="str">
        <f>'1º TRIMESTRE'!V88</f>
        <v>andamento</v>
      </c>
    </row>
    <row r="89" spans="1:22" ht="42.75">
      <c r="A89" s="14" t="str">
        <f>'1º TRIMESTRE'!A89</f>
        <v>CONCORRÊNCIA / nº 001/2021</v>
      </c>
      <c r="B89" s="14" t="str">
        <f>'1º TRIMESTRE'!B89</f>
        <v>CONTRATAÇÃO DE EMPRESA SANITÁRIA ESPECIALIZADA PARA A EXECUÇÃO DOS SERVIÇOS DE COLETA E LIMPEZA URBANA NO MUNICÍPIO DO RECIFE. LOTE 2-B</v>
      </c>
      <c r="C89" s="14">
        <f>'1º TRIMESTRE'!C89</f>
        <v>0</v>
      </c>
      <c r="D89" s="14">
        <f>'1º TRIMESTRE'!D89</f>
        <v>0</v>
      </c>
      <c r="E89" s="57">
        <f>'1º TRIMESTRE'!E89</f>
        <v>0</v>
      </c>
      <c r="F89" s="57">
        <f>'1º TRIMESTRE'!F89</f>
        <v>0</v>
      </c>
      <c r="G89" s="14" t="str">
        <f>'1º TRIMESTRE'!G89</f>
        <v>12.854.865/0001-02</v>
      </c>
      <c r="H89" s="14" t="str">
        <f>'1º TRIMESTRE'!H89</f>
        <v>COELHO DE  ANDRADE ENGENHARIA LTDA</v>
      </c>
      <c r="I89" s="15" t="str">
        <f>'1º TRIMESTRE'!I89</f>
        <v>6-017/22</v>
      </c>
      <c r="J89" s="160">
        <f>'1º TRIMESTRE'!J89</f>
        <v>44649</v>
      </c>
      <c r="K89" s="15">
        <f>'1º TRIMESTRE'!K89</f>
        <v>1825</v>
      </c>
      <c r="L89" s="16">
        <f>'1º TRIMESTRE'!L89</f>
        <v>205730360.58</v>
      </c>
      <c r="M89" s="160">
        <f>'1º TRIMESTRE'!M89</f>
        <v>46474</v>
      </c>
      <c r="N89" s="15">
        <f>'1º TRIMESTRE'!N89</f>
        <v>0</v>
      </c>
      <c r="O89" s="16">
        <f>'1º TRIMESTRE'!O89</f>
        <v>0</v>
      </c>
      <c r="P89" s="175">
        <v>48221861.129999995</v>
      </c>
      <c r="Q89" s="15" t="str">
        <f>'1º TRIMESTRE'!Q89</f>
        <v>3.3.90.39</v>
      </c>
      <c r="R89" s="16">
        <f>'1º TRIMESTRE'!R89+7003220.99</f>
        <v>7003220.99</v>
      </c>
      <c r="S89" s="16">
        <v>7003220.989999999</v>
      </c>
      <c r="T89" s="16">
        <f>'1º TRIMESTRE'!T89+S89</f>
        <v>7003220.989999999</v>
      </c>
      <c r="U89" s="16">
        <f>'1º TRIMESTRE'!U89+S89</f>
        <v>7003220.989999999</v>
      </c>
      <c r="V89" s="16" t="str">
        <f>'1º TRIMESTRE'!V89</f>
        <v>andamento</v>
      </c>
    </row>
    <row r="90" spans="1:22" ht="63.75">
      <c r="A90" s="14" t="str">
        <f>'1º TRIMESTRE'!A90</f>
        <v>CONCORRÊNCIA / nº 021/2021</v>
      </c>
      <c r="B90" s="14" t="str">
        <f>'1º TRIMESTRE'!B90</f>
        <v>CONTRATAÇÃO DE EMPRESA DE ENGENHARIA, ESPECIALIZADA EM ILUMINAÇÃO PÚBLICA, PARA FORNECIMENTO E INSTALAÇÃO DE LUMINÁRIAS RGB COM TECNOLOGIA LED E REDE ELÉTRICA, PARA ILUMINAÇÃO CÊNICA, DO TEATRO SANTA IZABEL BAIRRO SANTO ANTÔNIO</v>
      </c>
      <c r="C90" s="14" t="str">
        <f>'1º TRIMESTRE'!C90</f>
        <v>532561/2020</v>
      </c>
      <c r="D90" s="14" t="str">
        <f>'1º TRIMESTRE'!D90</f>
        <v>FINISA</v>
      </c>
      <c r="E90" s="57">
        <f>'1º TRIMESTRE'!E90</f>
        <v>50000000</v>
      </c>
      <c r="F90" s="57">
        <f>'1º TRIMESTRE'!F90</f>
        <v>0</v>
      </c>
      <c r="G90" s="135" t="str">
        <f>'1º TRIMESTRE'!G90</f>
        <v>01.346.561/0001-00</v>
      </c>
      <c r="H90" s="14" t="str">
        <f>'1º TRIMESTRE'!H90</f>
        <v>VASCONCELOS E SANTOS LTDA</v>
      </c>
      <c r="I90" s="15" t="str">
        <f>'1º TRIMESTRE'!I90</f>
        <v>6-019/22</v>
      </c>
      <c r="J90" s="160">
        <f>'1º TRIMESTRE'!J90</f>
        <v>44651</v>
      </c>
      <c r="K90" s="15">
        <f>'1º TRIMESTRE'!K90</f>
        <v>150</v>
      </c>
      <c r="L90" s="16">
        <f>'1º TRIMESTRE'!L90</f>
        <v>306496.2</v>
      </c>
      <c r="M90" s="160">
        <f>'1º TRIMESTRE'!M90</f>
        <v>44801</v>
      </c>
      <c r="N90" s="15">
        <f>'1º TRIMESTRE'!N90</f>
        <v>0</v>
      </c>
      <c r="O90" s="16">
        <f>'1º TRIMESTRE'!O90</f>
        <v>0</v>
      </c>
      <c r="P90" s="171">
        <f>'1º TRIMESTRE'!P90</f>
        <v>0</v>
      </c>
      <c r="Q90" s="15" t="str">
        <f>'1º TRIMESTRE'!Q90</f>
        <v>4.4.90.39</v>
      </c>
      <c r="R90" s="16">
        <f>'1º TRIMESTRE'!R90</f>
        <v>0</v>
      </c>
      <c r="S90" s="16"/>
      <c r="T90" s="16">
        <f>'1º TRIMESTRE'!T90+S90</f>
        <v>0</v>
      </c>
      <c r="U90" s="16">
        <f>'1º TRIMESTRE'!U90+S90</f>
        <v>0</v>
      </c>
      <c r="V90" s="16" t="str">
        <f>'1º TRIMESTRE'!V89</f>
        <v>andamento</v>
      </c>
    </row>
    <row r="91" spans="1:22" ht="64.5" customHeight="1">
      <c r="A91" s="164" t="s">
        <v>376</v>
      </c>
      <c r="B91" s="14" t="s">
        <v>377</v>
      </c>
      <c r="C91" s="14">
        <f>'1º TRIMESTRE'!C91</f>
        <v>0</v>
      </c>
      <c r="D91" s="14">
        <f>'1º TRIMESTRE'!D91</f>
        <v>0</v>
      </c>
      <c r="E91" s="57">
        <f>'1º TRIMESTRE'!E91</f>
        <v>0</v>
      </c>
      <c r="F91" s="165">
        <f>'1º TRIMESTRE'!F91</f>
        <v>0</v>
      </c>
      <c r="G91" s="166" t="s">
        <v>378</v>
      </c>
      <c r="H91" s="14" t="s">
        <v>379</v>
      </c>
      <c r="I91" s="15" t="s">
        <v>375</v>
      </c>
      <c r="J91" s="160">
        <v>44559</v>
      </c>
      <c r="K91" s="15">
        <v>760</v>
      </c>
      <c r="L91" s="132">
        <v>2227129.66</v>
      </c>
      <c r="M91" s="160">
        <f aca="true" t="shared" si="0" ref="M91:M108">J91+K91+N91</f>
        <v>45319</v>
      </c>
      <c r="N91" s="15">
        <f>'1º TRIMESTRE'!N91</f>
        <v>0</v>
      </c>
      <c r="O91" s="132">
        <v>237561.68</v>
      </c>
      <c r="P91" s="171">
        <f>'1º TRIMESTRE'!P91</f>
        <v>0</v>
      </c>
      <c r="Q91" s="15" t="s">
        <v>49</v>
      </c>
      <c r="R91" s="167">
        <v>505069.8300000001</v>
      </c>
      <c r="S91" s="16">
        <v>505069.83</v>
      </c>
      <c r="T91" s="16">
        <f>'1º TRIMESTRE'!T91+S91</f>
        <v>505069.83</v>
      </c>
      <c r="U91" s="16">
        <f>'1º TRIMESTRE'!U91+S91</f>
        <v>505069.83</v>
      </c>
      <c r="V91" s="16" t="s">
        <v>31</v>
      </c>
    </row>
    <row r="92" spans="1:22" ht="66" customHeight="1">
      <c r="A92" s="9" t="s">
        <v>381</v>
      </c>
      <c r="B92" s="14" t="s">
        <v>421</v>
      </c>
      <c r="C92" s="14">
        <f>'1º TRIMESTRE'!C92</f>
        <v>0</v>
      </c>
      <c r="D92" s="14">
        <f>'1º TRIMESTRE'!D92</f>
        <v>0</v>
      </c>
      <c r="E92" s="57">
        <f>'1º TRIMESTRE'!E92</f>
        <v>0</v>
      </c>
      <c r="F92" s="57">
        <f>'1º TRIMESTRE'!F92</f>
        <v>0</v>
      </c>
      <c r="G92" s="9" t="s">
        <v>382</v>
      </c>
      <c r="H92" s="135" t="s">
        <v>383</v>
      </c>
      <c r="I92" s="15" t="s">
        <v>380</v>
      </c>
      <c r="J92" s="160">
        <v>44607</v>
      </c>
      <c r="K92" s="15">
        <v>180</v>
      </c>
      <c r="L92" s="16">
        <v>836036.43</v>
      </c>
      <c r="M92" s="160">
        <f t="shared" si="0"/>
        <v>44877</v>
      </c>
      <c r="N92" s="15">
        <f>'1º TRIMESTRE'!N92+90</f>
        <v>90</v>
      </c>
      <c r="O92" s="16">
        <f>'1º TRIMESTRE'!O92</f>
        <v>0</v>
      </c>
      <c r="P92" s="171">
        <v>-6526.52</v>
      </c>
      <c r="Q92" s="15" t="s">
        <v>49</v>
      </c>
      <c r="R92" s="16">
        <f>'1º TRIMESTRE'!R92</f>
        <v>0</v>
      </c>
      <c r="S92" s="16"/>
      <c r="T92" s="16">
        <f>'1º TRIMESTRE'!T92+S92</f>
        <v>0</v>
      </c>
      <c r="U92" s="16">
        <f>'1º TRIMESTRE'!U92+S92</f>
        <v>0</v>
      </c>
      <c r="V92" s="16" t="s">
        <v>31</v>
      </c>
    </row>
    <row r="93" spans="1:22" ht="66" customHeight="1">
      <c r="A93" s="164" t="s">
        <v>385</v>
      </c>
      <c r="B93" s="14" t="s">
        <v>420</v>
      </c>
      <c r="C93" s="14">
        <f>'1º TRIMESTRE'!C93</f>
        <v>0</v>
      </c>
      <c r="D93" s="14">
        <f>'1º TRIMESTRE'!D93</f>
        <v>0</v>
      </c>
      <c r="E93" s="57">
        <f>'1º TRIMESTRE'!E93</f>
        <v>0</v>
      </c>
      <c r="F93" s="57">
        <f>'1º TRIMESTRE'!F93</f>
        <v>0</v>
      </c>
      <c r="G93" s="14" t="s">
        <v>36</v>
      </c>
      <c r="H93" s="14" t="s">
        <v>114</v>
      </c>
      <c r="I93" s="15" t="s">
        <v>384</v>
      </c>
      <c r="J93" s="160">
        <v>44469</v>
      </c>
      <c r="K93" s="15">
        <v>920</v>
      </c>
      <c r="L93" s="132">
        <v>1730333.68</v>
      </c>
      <c r="M93" s="160">
        <f t="shared" si="0"/>
        <v>45389</v>
      </c>
      <c r="N93" s="15">
        <f>'1º TRIMESTRE'!N93</f>
        <v>0</v>
      </c>
      <c r="O93" s="16">
        <f>'1º TRIMESTRE'!O93</f>
        <v>0</v>
      </c>
      <c r="P93" s="171">
        <f>'1º TRIMESTRE'!P93</f>
        <v>0</v>
      </c>
      <c r="Q93" s="15" t="s">
        <v>437</v>
      </c>
      <c r="R93" s="168">
        <v>217456.39</v>
      </c>
      <c r="S93" s="16">
        <v>217456.39</v>
      </c>
      <c r="T93" s="16">
        <f>'1º TRIMESTRE'!T93+S93</f>
        <v>217456.39</v>
      </c>
      <c r="U93" s="16">
        <f>'1º TRIMESTRE'!U93+S93</f>
        <v>217456.39</v>
      </c>
      <c r="V93" s="16" t="s">
        <v>31</v>
      </c>
    </row>
    <row r="94" spans="1:22" ht="74.25" customHeight="1">
      <c r="A94" s="9" t="s">
        <v>387</v>
      </c>
      <c r="B94" s="14" t="s">
        <v>419</v>
      </c>
      <c r="C94" s="14">
        <f>'1º TRIMESTRE'!C94</f>
        <v>0</v>
      </c>
      <c r="D94" s="14">
        <f>'1º TRIMESTRE'!D94</f>
        <v>0</v>
      </c>
      <c r="E94" s="57">
        <f>'1º TRIMESTRE'!E94</f>
        <v>0</v>
      </c>
      <c r="F94" s="57">
        <f>'1º TRIMESTRE'!F94</f>
        <v>0</v>
      </c>
      <c r="G94" s="9" t="s">
        <v>88</v>
      </c>
      <c r="H94" s="14" t="s">
        <v>48</v>
      </c>
      <c r="I94" s="15" t="s">
        <v>386</v>
      </c>
      <c r="J94" s="160">
        <v>44678</v>
      </c>
      <c r="K94" s="15">
        <v>1216</v>
      </c>
      <c r="L94" s="129">
        <v>56414995.56</v>
      </c>
      <c r="M94" s="160">
        <f t="shared" si="0"/>
        <v>45894</v>
      </c>
      <c r="N94" s="15">
        <f>'1º TRIMESTRE'!N94</f>
        <v>0</v>
      </c>
      <c r="O94" s="16">
        <f>'1º TRIMESTRE'!O94</f>
        <v>0</v>
      </c>
      <c r="P94" s="171">
        <f>'1º TRIMESTRE'!P94</f>
        <v>0</v>
      </c>
      <c r="Q94" s="15" t="s">
        <v>30</v>
      </c>
      <c r="R94" s="16">
        <f>'1º TRIMESTRE'!R94</f>
        <v>0</v>
      </c>
      <c r="S94" s="16"/>
      <c r="T94" s="16">
        <f>'1º TRIMESTRE'!T94+S94</f>
        <v>0</v>
      </c>
      <c r="U94" s="16">
        <f>'1º TRIMESTRE'!U94+S94</f>
        <v>0</v>
      </c>
      <c r="V94" s="16" t="s">
        <v>31</v>
      </c>
    </row>
    <row r="95" spans="1:22" ht="63" customHeight="1">
      <c r="A95" s="14" t="s">
        <v>389</v>
      </c>
      <c r="B95" s="9" t="s">
        <v>418</v>
      </c>
      <c r="C95" s="14">
        <f>'1º TRIMESTRE'!C95</f>
        <v>0</v>
      </c>
      <c r="D95" s="14">
        <f>'1º TRIMESTRE'!D95</f>
        <v>0</v>
      </c>
      <c r="E95" s="57">
        <f>'1º TRIMESTRE'!E95</f>
        <v>0</v>
      </c>
      <c r="F95" s="57">
        <f>'1º TRIMESTRE'!F95</f>
        <v>0</v>
      </c>
      <c r="G95" s="14" t="s">
        <v>135</v>
      </c>
      <c r="H95" s="14" t="s">
        <v>136</v>
      </c>
      <c r="I95" s="15" t="s">
        <v>388</v>
      </c>
      <c r="J95" s="169">
        <v>44687</v>
      </c>
      <c r="K95" s="15">
        <v>150</v>
      </c>
      <c r="L95" s="129">
        <v>999000</v>
      </c>
      <c r="M95" s="160">
        <f t="shared" si="0"/>
        <v>44837</v>
      </c>
      <c r="N95" s="15">
        <f>'1º TRIMESTRE'!N95</f>
        <v>0</v>
      </c>
      <c r="O95" s="16">
        <f>'1º TRIMESTRE'!O95</f>
        <v>0</v>
      </c>
      <c r="P95" s="171">
        <f>'1º TRIMESTRE'!P95</f>
        <v>0</v>
      </c>
      <c r="Q95" s="15" t="s">
        <v>49</v>
      </c>
      <c r="R95" s="16">
        <f>'1º TRIMESTRE'!R95</f>
        <v>0</v>
      </c>
      <c r="S95" s="16"/>
      <c r="T95" s="16">
        <f>'1º TRIMESTRE'!T95+S95</f>
        <v>0</v>
      </c>
      <c r="U95" s="16">
        <f>'1º TRIMESTRE'!U95+S95</f>
        <v>0</v>
      </c>
      <c r="V95" s="16" t="s">
        <v>31</v>
      </c>
    </row>
    <row r="96" spans="1:22" ht="96.75" customHeight="1">
      <c r="A96" s="9" t="s">
        <v>391</v>
      </c>
      <c r="B96" s="14" t="s">
        <v>417</v>
      </c>
      <c r="C96" s="14">
        <f>'1º TRIMESTRE'!C96</f>
        <v>0</v>
      </c>
      <c r="D96" s="14">
        <f>'1º TRIMESTRE'!D96</f>
        <v>0</v>
      </c>
      <c r="E96" s="57">
        <f>'1º TRIMESTRE'!E96</f>
        <v>0</v>
      </c>
      <c r="F96" s="57">
        <f>'1º TRIMESTRE'!F96</f>
        <v>0</v>
      </c>
      <c r="G96" s="14" t="s">
        <v>392</v>
      </c>
      <c r="H96" s="14" t="s">
        <v>393</v>
      </c>
      <c r="I96" s="15" t="s">
        <v>390</v>
      </c>
      <c r="J96" s="160">
        <v>44694</v>
      </c>
      <c r="K96" s="15">
        <v>240</v>
      </c>
      <c r="L96" s="129">
        <v>570270.67</v>
      </c>
      <c r="M96" s="160">
        <f t="shared" si="0"/>
        <v>44934</v>
      </c>
      <c r="N96" s="15">
        <f>'1º TRIMESTRE'!N96</f>
        <v>0</v>
      </c>
      <c r="O96" s="16">
        <f>'1º TRIMESTRE'!O96</f>
        <v>0</v>
      </c>
      <c r="P96" s="171">
        <f>'1º TRIMESTRE'!P96</f>
        <v>0</v>
      </c>
      <c r="Q96" s="15" t="s">
        <v>49</v>
      </c>
      <c r="R96" s="16">
        <f>'1º TRIMESTRE'!R96</f>
        <v>0</v>
      </c>
      <c r="S96" s="16"/>
      <c r="T96" s="16">
        <f>'1º TRIMESTRE'!T96+S96</f>
        <v>0</v>
      </c>
      <c r="U96" s="16">
        <f>'1º TRIMESTRE'!U96+S96</f>
        <v>0</v>
      </c>
      <c r="V96" s="16" t="s">
        <v>394</v>
      </c>
    </row>
    <row r="97" spans="1:22" ht="99" customHeight="1">
      <c r="A97" s="14" t="s">
        <v>396</v>
      </c>
      <c r="B97" s="14" t="s">
        <v>416</v>
      </c>
      <c r="C97" s="14">
        <f>'1º TRIMESTRE'!C97</f>
        <v>0</v>
      </c>
      <c r="D97" s="14">
        <f>'1º TRIMESTRE'!D97</f>
        <v>0</v>
      </c>
      <c r="E97" s="57">
        <f>'1º TRIMESTRE'!E97</f>
        <v>0</v>
      </c>
      <c r="F97" s="57">
        <f>'1º TRIMESTRE'!F97</f>
        <v>0</v>
      </c>
      <c r="G97" s="14" t="s">
        <v>303</v>
      </c>
      <c r="H97" s="14" t="s">
        <v>304</v>
      </c>
      <c r="I97" s="15" t="s">
        <v>395</v>
      </c>
      <c r="J97" s="160">
        <v>44713</v>
      </c>
      <c r="K97" s="15">
        <v>180</v>
      </c>
      <c r="L97" s="129">
        <v>157510.08</v>
      </c>
      <c r="M97" s="160">
        <f t="shared" si="0"/>
        <v>44893</v>
      </c>
      <c r="N97" s="15">
        <f>'1º TRIMESTRE'!N97</f>
        <v>0</v>
      </c>
      <c r="O97" s="16">
        <f>'1º TRIMESTRE'!O97</f>
        <v>0</v>
      </c>
      <c r="P97" s="171">
        <f>'1º TRIMESTRE'!P97</f>
        <v>0</v>
      </c>
      <c r="Q97" s="15" t="s">
        <v>49</v>
      </c>
      <c r="R97" s="16">
        <f>'1º TRIMESTRE'!R97</f>
        <v>0</v>
      </c>
      <c r="S97" s="16"/>
      <c r="T97" s="16">
        <f>'1º TRIMESTRE'!T97+S97</f>
        <v>0</v>
      </c>
      <c r="U97" s="16">
        <f>'1º TRIMESTRE'!U97+S97</f>
        <v>0</v>
      </c>
      <c r="V97" s="16" t="s">
        <v>31</v>
      </c>
    </row>
    <row r="98" spans="1:22" ht="37.5" customHeight="1">
      <c r="A98" s="14" t="s">
        <v>398</v>
      </c>
      <c r="B98" s="9" t="s">
        <v>415</v>
      </c>
      <c r="C98" s="14">
        <f>'1º TRIMESTRE'!C98</f>
        <v>0</v>
      </c>
      <c r="D98" s="14">
        <f>'1º TRIMESTRE'!D98</f>
        <v>0</v>
      </c>
      <c r="E98" s="57">
        <f>'1º TRIMESTRE'!E98</f>
        <v>0</v>
      </c>
      <c r="F98" s="57">
        <f>'1º TRIMESTRE'!F98</f>
        <v>0</v>
      </c>
      <c r="G98" s="14" t="s">
        <v>36</v>
      </c>
      <c r="H98" s="14" t="s">
        <v>114</v>
      </c>
      <c r="I98" s="15" t="s">
        <v>397</v>
      </c>
      <c r="J98" s="160">
        <v>44697</v>
      </c>
      <c r="K98" s="15">
        <v>210</v>
      </c>
      <c r="L98" s="129">
        <v>1951428.17</v>
      </c>
      <c r="M98" s="160">
        <f t="shared" si="0"/>
        <v>44907</v>
      </c>
      <c r="N98" s="15">
        <f>'1º TRIMESTRE'!N98</f>
        <v>0</v>
      </c>
      <c r="O98" s="16">
        <f>'1º TRIMESTRE'!O98</f>
        <v>0</v>
      </c>
      <c r="P98" s="171">
        <f>'1º TRIMESTRE'!P98</f>
        <v>0</v>
      </c>
      <c r="Q98" s="15" t="s">
        <v>49</v>
      </c>
      <c r="R98" s="16">
        <f>'1º TRIMESTRE'!R98</f>
        <v>0</v>
      </c>
      <c r="S98" s="16">
        <v>0</v>
      </c>
      <c r="T98" s="16">
        <f>'1º TRIMESTRE'!T98+S98</f>
        <v>0</v>
      </c>
      <c r="U98" s="16">
        <f>'1º TRIMESTRE'!U98+S98</f>
        <v>0</v>
      </c>
      <c r="V98" s="16" t="s">
        <v>394</v>
      </c>
    </row>
    <row r="99" spans="1:22" ht="96.75" customHeight="1">
      <c r="A99" s="9" t="s">
        <v>400</v>
      </c>
      <c r="B99" s="14" t="s">
        <v>414</v>
      </c>
      <c r="C99" s="14">
        <f>'1º TRIMESTRE'!C99</f>
        <v>0</v>
      </c>
      <c r="D99" s="14">
        <f>'1º TRIMESTRE'!D99</f>
        <v>0</v>
      </c>
      <c r="E99" s="57">
        <f>'1º TRIMESTRE'!E99</f>
        <v>0</v>
      </c>
      <c r="F99" s="57">
        <f>'1º TRIMESTRE'!F99</f>
        <v>0</v>
      </c>
      <c r="G99" s="14" t="s">
        <v>42</v>
      </c>
      <c r="H99" s="14" t="s">
        <v>43</v>
      </c>
      <c r="I99" s="15" t="s">
        <v>399</v>
      </c>
      <c r="J99" s="169">
        <v>44691</v>
      </c>
      <c r="K99" s="15">
        <v>395</v>
      </c>
      <c r="L99" s="129">
        <v>4795564.07</v>
      </c>
      <c r="M99" s="160">
        <f t="shared" si="0"/>
        <v>45086</v>
      </c>
      <c r="N99" s="15">
        <f>'1º TRIMESTRE'!N99</f>
        <v>0</v>
      </c>
      <c r="O99" s="16">
        <f>'1º TRIMESTRE'!O99</f>
        <v>0</v>
      </c>
      <c r="P99" s="171">
        <f>'1º TRIMESTRE'!P99</f>
        <v>0</v>
      </c>
      <c r="Q99" s="15" t="s">
        <v>49</v>
      </c>
      <c r="R99" s="16">
        <f>'1º TRIMESTRE'!R99</f>
        <v>0</v>
      </c>
      <c r="S99" s="16"/>
      <c r="T99" s="16">
        <f>'1º TRIMESTRE'!T99+S99</f>
        <v>0</v>
      </c>
      <c r="U99" s="16">
        <f>'1º TRIMESTRE'!U99+S99</f>
        <v>0</v>
      </c>
      <c r="V99" s="16" t="s">
        <v>394</v>
      </c>
    </row>
    <row r="100" spans="1:22" ht="61.5" customHeight="1">
      <c r="A100" s="14" t="s">
        <v>402</v>
      </c>
      <c r="B100" s="14" t="s">
        <v>406</v>
      </c>
      <c r="C100" s="14">
        <f>'1º TRIMESTRE'!C100</f>
        <v>0</v>
      </c>
      <c r="D100" s="14">
        <f>'1º TRIMESTRE'!D100</f>
        <v>0</v>
      </c>
      <c r="E100" s="57">
        <f>'1º TRIMESTRE'!E100</f>
        <v>0</v>
      </c>
      <c r="F100" s="57">
        <f>'1º TRIMESTRE'!F100</f>
        <v>0</v>
      </c>
      <c r="G100" s="14" t="s">
        <v>403</v>
      </c>
      <c r="H100" s="14" t="s">
        <v>404</v>
      </c>
      <c r="I100" s="15" t="s">
        <v>401</v>
      </c>
      <c r="J100" s="160">
        <v>44732</v>
      </c>
      <c r="K100" s="15">
        <v>210</v>
      </c>
      <c r="L100" s="129">
        <v>664493.28</v>
      </c>
      <c r="M100" s="160">
        <f t="shared" si="0"/>
        <v>44942</v>
      </c>
      <c r="N100" s="15">
        <f>'1º TRIMESTRE'!N100</f>
        <v>0</v>
      </c>
      <c r="O100" s="16">
        <f>'1º TRIMESTRE'!O100</f>
        <v>0</v>
      </c>
      <c r="P100" s="171">
        <f>'1º TRIMESTRE'!P100</f>
        <v>0</v>
      </c>
      <c r="Q100" s="15" t="s">
        <v>49</v>
      </c>
      <c r="R100" s="16">
        <f>'1º TRIMESTRE'!R100</f>
        <v>0</v>
      </c>
      <c r="S100" s="16"/>
      <c r="T100" s="16">
        <f>'1º TRIMESTRE'!T100+S100</f>
        <v>0</v>
      </c>
      <c r="U100" s="16">
        <f>'1º TRIMESTRE'!U100+S100</f>
        <v>0</v>
      </c>
      <c r="V100" s="16" t="s">
        <v>31</v>
      </c>
    </row>
    <row r="101" spans="1:22" ht="62.25" customHeight="1">
      <c r="A101" s="9" t="s">
        <v>402</v>
      </c>
      <c r="B101" s="14" t="s">
        <v>406</v>
      </c>
      <c r="C101" s="14">
        <f>'1º TRIMESTRE'!C101</f>
        <v>0</v>
      </c>
      <c r="D101" s="14">
        <f>'1º TRIMESTRE'!D101</f>
        <v>0</v>
      </c>
      <c r="E101" s="57">
        <f>'1º TRIMESTRE'!E101</f>
        <v>0</v>
      </c>
      <c r="F101" s="57">
        <f>'1º TRIMESTRE'!F101</f>
        <v>0</v>
      </c>
      <c r="G101" s="9" t="s">
        <v>407</v>
      </c>
      <c r="H101" s="14" t="s">
        <v>408</v>
      </c>
      <c r="I101" s="15" t="s">
        <v>405</v>
      </c>
      <c r="J101" s="169">
        <v>44714</v>
      </c>
      <c r="K101" s="15">
        <v>360</v>
      </c>
      <c r="L101" s="132">
        <v>1688150.08</v>
      </c>
      <c r="M101" s="160">
        <f t="shared" si="0"/>
        <v>45074</v>
      </c>
      <c r="N101" s="15">
        <f>'1º TRIMESTRE'!N101</f>
        <v>0</v>
      </c>
      <c r="O101" s="16">
        <f>'1º TRIMESTRE'!O101</f>
        <v>0</v>
      </c>
      <c r="P101" s="171">
        <f>'1º TRIMESTRE'!P101</f>
        <v>0</v>
      </c>
      <c r="Q101" s="15" t="s">
        <v>49</v>
      </c>
      <c r="R101" s="16">
        <f>'1º TRIMESTRE'!R101</f>
        <v>0</v>
      </c>
      <c r="S101" s="16"/>
      <c r="T101" s="16">
        <f>'1º TRIMESTRE'!T101+S101</f>
        <v>0</v>
      </c>
      <c r="U101" s="16">
        <f>'1º TRIMESTRE'!U101+S101</f>
        <v>0</v>
      </c>
      <c r="V101" s="16" t="s">
        <v>31</v>
      </c>
    </row>
    <row r="102" spans="1:22" ht="51.75" customHeight="1">
      <c r="A102" s="14" t="s">
        <v>411</v>
      </c>
      <c r="B102" s="14" t="s">
        <v>413</v>
      </c>
      <c r="C102" s="14">
        <f>'1º TRIMESTRE'!C102</f>
        <v>0</v>
      </c>
      <c r="D102" s="14">
        <f>'1º TRIMESTRE'!D102</f>
        <v>0</v>
      </c>
      <c r="E102" s="57">
        <f>'1º TRIMESTRE'!E102</f>
        <v>0</v>
      </c>
      <c r="F102" s="57">
        <f>'1º TRIMESTRE'!F102</f>
        <v>0</v>
      </c>
      <c r="G102" s="14" t="s">
        <v>32</v>
      </c>
      <c r="H102" s="14" t="s">
        <v>40</v>
      </c>
      <c r="I102" s="15" t="s">
        <v>409</v>
      </c>
      <c r="J102" s="160">
        <v>44718</v>
      </c>
      <c r="K102" s="15">
        <v>790</v>
      </c>
      <c r="L102" s="129">
        <v>1278000</v>
      </c>
      <c r="M102" s="160">
        <f t="shared" si="0"/>
        <v>45508</v>
      </c>
      <c r="N102" s="15">
        <f>'1º TRIMESTRE'!N102</f>
        <v>0</v>
      </c>
      <c r="O102" s="16">
        <f>'1º TRIMESTRE'!O102</f>
        <v>0</v>
      </c>
      <c r="P102" s="171">
        <f>'1º TRIMESTRE'!P102</f>
        <v>0</v>
      </c>
      <c r="Q102" s="15" t="s">
        <v>30</v>
      </c>
      <c r="R102" s="16">
        <f>'1º TRIMESTRE'!R102</f>
        <v>0</v>
      </c>
      <c r="S102" s="16">
        <v>0</v>
      </c>
      <c r="T102" s="16">
        <f>'1º TRIMESTRE'!T102+S102</f>
        <v>0</v>
      </c>
      <c r="U102" s="16">
        <f>'1º TRIMESTRE'!U102+S102</f>
        <v>0</v>
      </c>
      <c r="V102" s="16" t="s">
        <v>31</v>
      </c>
    </row>
    <row r="103" spans="1:22" ht="94.5" customHeight="1">
      <c r="A103" s="9" t="s">
        <v>402</v>
      </c>
      <c r="B103" s="14" t="s">
        <v>412</v>
      </c>
      <c r="C103" s="14">
        <f>'1º TRIMESTRE'!C103</f>
        <v>0</v>
      </c>
      <c r="D103" s="14">
        <f>'1º TRIMESTRE'!D103</f>
        <v>0</v>
      </c>
      <c r="E103" s="57">
        <f>'1º TRIMESTRE'!E103</f>
        <v>0</v>
      </c>
      <c r="F103" s="57">
        <f>'1º TRIMESTRE'!F103</f>
        <v>0</v>
      </c>
      <c r="G103" s="14" t="s">
        <v>403</v>
      </c>
      <c r="H103" s="14" t="s">
        <v>404</v>
      </c>
      <c r="I103" s="15" t="s">
        <v>410</v>
      </c>
      <c r="J103" s="160">
        <v>44732</v>
      </c>
      <c r="K103" s="15">
        <v>360</v>
      </c>
      <c r="L103" s="129">
        <v>1507466.22</v>
      </c>
      <c r="M103" s="160">
        <f t="shared" si="0"/>
        <v>45092</v>
      </c>
      <c r="N103" s="15">
        <f>'1º TRIMESTRE'!N103</f>
        <v>0</v>
      </c>
      <c r="O103" s="16">
        <f>'1º TRIMESTRE'!O103</f>
        <v>0</v>
      </c>
      <c r="P103" s="171">
        <f>'1º TRIMESTRE'!P103</f>
        <v>0</v>
      </c>
      <c r="Q103" s="15" t="s">
        <v>49</v>
      </c>
      <c r="R103" s="16">
        <f>'1º TRIMESTRE'!R103</f>
        <v>0</v>
      </c>
      <c r="S103" s="16"/>
      <c r="T103" s="16">
        <f>'1º TRIMESTRE'!T103+S103</f>
        <v>0</v>
      </c>
      <c r="U103" s="16">
        <f>'1º TRIMESTRE'!U103+S103</f>
        <v>0</v>
      </c>
      <c r="V103" s="16" t="s">
        <v>31</v>
      </c>
    </row>
    <row r="104" spans="1:22" ht="97.5" customHeight="1">
      <c r="A104" s="14" t="s">
        <v>402</v>
      </c>
      <c r="B104" s="9" t="s">
        <v>412</v>
      </c>
      <c r="C104" s="14">
        <f>'1º TRIMESTRE'!C104</f>
        <v>0</v>
      </c>
      <c r="D104" s="14">
        <f>'1º TRIMESTRE'!D104</f>
        <v>0</v>
      </c>
      <c r="E104" s="57">
        <f>'1º TRIMESTRE'!E104</f>
        <v>0</v>
      </c>
      <c r="F104" s="57">
        <f>'1º TRIMESTRE'!F104</f>
        <v>0</v>
      </c>
      <c r="G104" s="14" t="s">
        <v>403</v>
      </c>
      <c r="H104" s="14" t="s">
        <v>404</v>
      </c>
      <c r="I104" s="15" t="s">
        <v>422</v>
      </c>
      <c r="J104" s="169">
        <v>44732</v>
      </c>
      <c r="K104" s="15">
        <v>425</v>
      </c>
      <c r="L104" s="132">
        <v>2244006.22</v>
      </c>
      <c r="M104" s="160">
        <f t="shared" si="0"/>
        <v>45157</v>
      </c>
      <c r="N104" s="15">
        <f>'1º TRIMESTRE'!N104</f>
        <v>0</v>
      </c>
      <c r="O104" s="16">
        <f>'1º TRIMESTRE'!O104</f>
        <v>0</v>
      </c>
      <c r="P104" s="171">
        <f>'1º TRIMESTRE'!P104</f>
        <v>0</v>
      </c>
      <c r="Q104" s="15" t="s">
        <v>49</v>
      </c>
      <c r="R104" s="16">
        <f>'1º TRIMESTRE'!R104</f>
        <v>0</v>
      </c>
      <c r="S104" s="16"/>
      <c r="T104" s="16">
        <f>'1º TRIMESTRE'!T104+S104</f>
        <v>0</v>
      </c>
      <c r="U104" s="16">
        <f>'1º TRIMESTRE'!U104+S104</f>
        <v>0</v>
      </c>
      <c r="V104" s="16" t="s">
        <v>31</v>
      </c>
    </row>
    <row r="105" spans="1:22" ht="46.5" customHeight="1">
      <c r="A105" s="14" t="s">
        <v>424</v>
      </c>
      <c r="B105" s="14" t="s">
        <v>425</v>
      </c>
      <c r="C105" s="14">
        <f>'1º TRIMESTRE'!C105</f>
        <v>0</v>
      </c>
      <c r="D105" s="14">
        <f>'1º TRIMESTRE'!D105</f>
        <v>0</v>
      </c>
      <c r="E105" s="57">
        <f>'1º TRIMESTRE'!E105</f>
        <v>0</v>
      </c>
      <c r="F105" s="57">
        <f>'1º TRIMESTRE'!F105</f>
        <v>0</v>
      </c>
      <c r="G105" s="14" t="s">
        <v>61</v>
      </c>
      <c r="H105" s="14" t="s">
        <v>98</v>
      </c>
      <c r="I105" s="15" t="s">
        <v>423</v>
      </c>
      <c r="J105" s="160">
        <v>44719</v>
      </c>
      <c r="K105" s="15">
        <v>1155</v>
      </c>
      <c r="L105" s="129">
        <v>7836613.59</v>
      </c>
      <c r="M105" s="160">
        <f t="shared" si="0"/>
        <v>45874</v>
      </c>
      <c r="N105" s="15">
        <f>'1º TRIMESTRE'!N105</f>
        <v>0</v>
      </c>
      <c r="O105" s="16">
        <f>'1º TRIMESTRE'!O105</f>
        <v>0</v>
      </c>
      <c r="P105" s="171">
        <f>'1º TRIMESTRE'!P105</f>
        <v>0</v>
      </c>
      <c r="Q105" s="15" t="s">
        <v>30</v>
      </c>
      <c r="R105" s="16">
        <f>'1º TRIMESTRE'!R105</f>
        <v>0</v>
      </c>
      <c r="S105" s="16"/>
      <c r="T105" s="16">
        <f>'1º TRIMESTRE'!T105+S105</f>
        <v>0</v>
      </c>
      <c r="U105" s="16">
        <f>'1º TRIMESTRE'!U105+S105</f>
        <v>0</v>
      </c>
      <c r="V105" s="16" t="s">
        <v>31</v>
      </c>
    </row>
    <row r="106" spans="1:22" ht="45.75" customHeight="1">
      <c r="A106" s="14" t="s">
        <v>424</v>
      </c>
      <c r="B106" s="9" t="s">
        <v>427</v>
      </c>
      <c r="C106" s="14">
        <f>'1º TRIMESTRE'!C106</f>
        <v>0</v>
      </c>
      <c r="D106" s="14">
        <f>'1º TRIMESTRE'!D106</f>
        <v>0</v>
      </c>
      <c r="E106" s="57">
        <f>'1º TRIMESTRE'!E106</f>
        <v>0</v>
      </c>
      <c r="F106" s="57">
        <f>'1º TRIMESTRE'!F106</f>
        <v>0</v>
      </c>
      <c r="G106" s="14" t="s">
        <v>61</v>
      </c>
      <c r="H106" s="14" t="s">
        <v>98</v>
      </c>
      <c r="I106" s="15" t="s">
        <v>426</v>
      </c>
      <c r="J106" s="160">
        <v>44719</v>
      </c>
      <c r="K106" s="15">
        <v>1155</v>
      </c>
      <c r="L106" s="129">
        <v>8921904</v>
      </c>
      <c r="M106" s="160">
        <f t="shared" si="0"/>
        <v>45874</v>
      </c>
      <c r="N106" s="15">
        <f>'1º TRIMESTRE'!N106</f>
        <v>0</v>
      </c>
      <c r="O106" s="16">
        <f>'1º TRIMESTRE'!O106</f>
        <v>0</v>
      </c>
      <c r="P106" s="171">
        <f>'1º TRIMESTRE'!P106</f>
        <v>0</v>
      </c>
      <c r="Q106" s="15" t="s">
        <v>30</v>
      </c>
      <c r="R106" s="16">
        <f>'1º TRIMESTRE'!R106</f>
        <v>0</v>
      </c>
      <c r="S106" s="16"/>
      <c r="T106" s="16">
        <f>'1º TRIMESTRE'!T106+S106</f>
        <v>0</v>
      </c>
      <c r="U106" s="16">
        <f>'1º TRIMESTRE'!U106+S106</f>
        <v>0</v>
      </c>
      <c r="V106" s="16" t="s">
        <v>31</v>
      </c>
    </row>
    <row r="107" spans="1:22" ht="43.5" customHeight="1">
      <c r="A107" s="14" t="s">
        <v>424</v>
      </c>
      <c r="B107" s="14" t="s">
        <v>429</v>
      </c>
      <c r="C107" s="14">
        <f>'1º TRIMESTRE'!C107</f>
        <v>0</v>
      </c>
      <c r="D107" s="14">
        <f>'1º TRIMESTRE'!D107</f>
        <v>0</v>
      </c>
      <c r="E107" s="57">
        <f>'1º TRIMESTRE'!E107</f>
        <v>0</v>
      </c>
      <c r="F107" s="57">
        <f>'1º TRIMESTRE'!F107</f>
        <v>0</v>
      </c>
      <c r="G107" s="14" t="s">
        <v>430</v>
      </c>
      <c r="H107" s="14" t="s">
        <v>431</v>
      </c>
      <c r="I107" s="15" t="s">
        <v>428</v>
      </c>
      <c r="J107" s="160">
        <v>44719</v>
      </c>
      <c r="K107" s="15">
        <v>1155</v>
      </c>
      <c r="L107" s="129">
        <v>11636266.13</v>
      </c>
      <c r="M107" s="160">
        <f t="shared" si="0"/>
        <v>45874</v>
      </c>
      <c r="N107" s="15">
        <f>'1º TRIMESTRE'!N107</f>
        <v>0</v>
      </c>
      <c r="O107" s="16">
        <f>'1º TRIMESTRE'!O107</f>
        <v>0</v>
      </c>
      <c r="P107" s="171">
        <f>'1º TRIMESTRE'!P107</f>
        <v>0</v>
      </c>
      <c r="Q107" s="15" t="s">
        <v>30</v>
      </c>
      <c r="R107" s="16">
        <f>'1º TRIMESTRE'!R107</f>
        <v>0</v>
      </c>
      <c r="S107" s="16"/>
      <c r="T107" s="16">
        <f>'1º TRIMESTRE'!T107+S107</f>
        <v>0</v>
      </c>
      <c r="U107" s="16">
        <f>'1º TRIMESTRE'!U107+S107</f>
        <v>0</v>
      </c>
      <c r="V107" s="16" t="s">
        <v>31</v>
      </c>
    </row>
    <row r="108" spans="1:22" ht="60.75" customHeight="1">
      <c r="A108" s="14" t="s">
        <v>433</v>
      </c>
      <c r="B108" s="14" t="s">
        <v>434</v>
      </c>
      <c r="C108" s="14">
        <f>'1º TRIMESTRE'!C108</f>
        <v>0</v>
      </c>
      <c r="D108" s="14">
        <f>'1º TRIMESTRE'!D108</f>
        <v>0</v>
      </c>
      <c r="E108" s="57">
        <f>'1º TRIMESTRE'!E108</f>
        <v>0</v>
      </c>
      <c r="F108" s="57">
        <f>'1º TRIMESTRE'!F108</f>
        <v>0</v>
      </c>
      <c r="G108" s="14" t="s">
        <v>435</v>
      </c>
      <c r="H108" s="14" t="s">
        <v>436</v>
      </c>
      <c r="I108" s="15" t="s">
        <v>432</v>
      </c>
      <c r="J108" s="160">
        <v>44726</v>
      </c>
      <c r="K108" s="15">
        <v>210</v>
      </c>
      <c r="L108" s="129">
        <v>5966954.55</v>
      </c>
      <c r="M108" s="160">
        <f t="shared" si="0"/>
        <v>44936</v>
      </c>
      <c r="N108" s="15">
        <f>'1º TRIMESTRE'!N108</f>
        <v>0</v>
      </c>
      <c r="O108" s="16">
        <f>'1º TRIMESTRE'!O108</f>
        <v>0</v>
      </c>
      <c r="P108" s="171">
        <f>'1º TRIMESTRE'!P108</f>
        <v>0</v>
      </c>
      <c r="Q108" s="15" t="s">
        <v>49</v>
      </c>
      <c r="R108" s="16">
        <f>'1º TRIMESTRE'!R108</f>
        <v>0</v>
      </c>
      <c r="S108" s="16"/>
      <c r="T108" s="16">
        <f>'1º TRIMESTRE'!T108+S108</f>
        <v>0</v>
      </c>
      <c r="U108" s="16">
        <f>'1º TRIMESTRE'!U108+S108</f>
        <v>0</v>
      </c>
      <c r="V108" s="16" t="s">
        <v>394</v>
      </c>
    </row>
    <row r="109" spans="1:22" ht="10.5">
      <c r="A109" s="14">
        <f>'1º TRIMESTRE'!A109</f>
        <v>0</v>
      </c>
      <c r="B109" s="14">
        <f>'1º TRIMESTRE'!B109</f>
        <v>0</v>
      </c>
      <c r="C109" s="14">
        <f>'1º TRIMESTRE'!C109</f>
        <v>0</v>
      </c>
      <c r="D109" s="14">
        <f>'1º TRIMESTRE'!D109</f>
        <v>0</v>
      </c>
      <c r="E109" s="57">
        <f>'1º TRIMESTRE'!E109</f>
        <v>0</v>
      </c>
      <c r="F109" s="57">
        <f>'1º TRIMESTRE'!F109</f>
        <v>0</v>
      </c>
      <c r="G109" s="14">
        <f>'1º TRIMESTRE'!G109</f>
        <v>0</v>
      </c>
      <c r="H109" s="14">
        <f>'1º TRIMESTRE'!H109</f>
        <v>0</v>
      </c>
      <c r="I109" s="15">
        <f>'1º TRIMESTRE'!I109</f>
        <v>0</v>
      </c>
      <c r="J109" s="160">
        <f>'1º TRIMESTRE'!J109</f>
        <v>0</v>
      </c>
      <c r="K109" s="15">
        <f>'1º TRIMESTRE'!K109</f>
        <v>0</v>
      </c>
      <c r="L109" s="16">
        <f>'1º TRIMESTRE'!L109</f>
        <v>0</v>
      </c>
      <c r="M109" s="160">
        <f>'1º TRIMESTRE'!M109</f>
        <v>0</v>
      </c>
      <c r="N109" s="15">
        <f>'1º TRIMESTRE'!N109</f>
        <v>0</v>
      </c>
      <c r="O109" s="16">
        <f>'1º TRIMESTRE'!O109</f>
        <v>0</v>
      </c>
      <c r="P109" s="171">
        <f>'1º TRIMESTRE'!P109</f>
        <v>0</v>
      </c>
      <c r="Q109" s="15">
        <f>'1º TRIMESTRE'!Q109</f>
        <v>0</v>
      </c>
      <c r="R109" s="16">
        <f>'1º TRIMESTRE'!R109</f>
        <v>0</v>
      </c>
      <c r="S109" s="16"/>
      <c r="T109" s="16">
        <f>'1º TRIMESTRE'!T109+S109</f>
        <v>0</v>
      </c>
      <c r="U109" s="16">
        <f>'1º TRIMESTRE'!U109+S109</f>
        <v>0</v>
      </c>
      <c r="V109" s="16">
        <f>'1º TRIMESTRE'!V109</f>
        <v>0</v>
      </c>
    </row>
    <row r="110" spans="1:22" ht="10.5">
      <c r="A110" s="14">
        <f>'1º TRIMESTRE'!A110</f>
        <v>0</v>
      </c>
      <c r="B110" s="14">
        <f>'1º TRIMESTRE'!B110</f>
        <v>0</v>
      </c>
      <c r="C110" s="14">
        <f>'1º TRIMESTRE'!C110</f>
        <v>0</v>
      </c>
      <c r="D110" s="14">
        <f>'1º TRIMESTRE'!D110</f>
        <v>0</v>
      </c>
      <c r="E110" s="57">
        <f>'1º TRIMESTRE'!E110</f>
        <v>0</v>
      </c>
      <c r="F110" s="57">
        <f>'1º TRIMESTRE'!F110</f>
        <v>0</v>
      </c>
      <c r="G110" s="14">
        <f>'1º TRIMESTRE'!G110</f>
        <v>0</v>
      </c>
      <c r="H110" s="14">
        <f>'1º TRIMESTRE'!H110</f>
        <v>0</v>
      </c>
      <c r="I110" s="15">
        <f>'1º TRIMESTRE'!I110</f>
        <v>0</v>
      </c>
      <c r="J110" s="160">
        <f>'1º TRIMESTRE'!J110</f>
        <v>0</v>
      </c>
      <c r="K110" s="15">
        <f>'1º TRIMESTRE'!K110</f>
        <v>0</v>
      </c>
      <c r="L110" s="16">
        <f>'1º TRIMESTRE'!L110</f>
        <v>0</v>
      </c>
      <c r="M110" s="160">
        <f>'1º TRIMESTRE'!M110</f>
        <v>0</v>
      </c>
      <c r="N110" s="15">
        <f>'1º TRIMESTRE'!N110</f>
        <v>0</v>
      </c>
      <c r="O110" s="16">
        <f>'1º TRIMESTRE'!O110</f>
        <v>0</v>
      </c>
      <c r="P110" s="171">
        <f>'1º TRIMESTRE'!P110</f>
        <v>0</v>
      </c>
      <c r="Q110" s="15">
        <f>'1º TRIMESTRE'!Q110</f>
        <v>0</v>
      </c>
      <c r="R110" s="16">
        <f>'1º TRIMESTRE'!R110</f>
        <v>0</v>
      </c>
      <c r="S110" s="16"/>
      <c r="T110" s="16">
        <f>'1º TRIMESTRE'!T110+S110</f>
        <v>0</v>
      </c>
      <c r="U110" s="16">
        <f>'1º TRIMESTRE'!U110+S110</f>
        <v>0</v>
      </c>
      <c r="V110" s="16">
        <f>'1º TRIMESTRE'!V110</f>
        <v>0</v>
      </c>
    </row>
    <row r="111" spans="1:22" ht="10.5">
      <c r="A111" s="14">
        <f>'1º TRIMESTRE'!A111</f>
        <v>0</v>
      </c>
      <c r="B111" s="14">
        <f>'1º TRIMESTRE'!B111</f>
        <v>0</v>
      </c>
      <c r="C111" s="14">
        <f>'1º TRIMESTRE'!C111</f>
        <v>0</v>
      </c>
      <c r="D111" s="14">
        <f>'1º TRIMESTRE'!D111</f>
        <v>0</v>
      </c>
      <c r="E111" s="57">
        <f>'1º TRIMESTRE'!E111</f>
        <v>0</v>
      </c>
      <c r="F111" s="57">
        <f>'1º TRIMESTRE'!F111</f>
        <v>0</v>
      </c>
      <c r="G111" s="14">
        <f>'1º TRIMESTRE'!G111</f>
        <v>0</v>
      </c>
      <c r="H111" s="14">
        <f>'1º TRIMESTRE'!H111</f>
        <v>0</v>
      </c>
      <c r="I111" s="15">
        <f>'1º TRIMESTRE'!I111</f>
        <v>0</v>
      </c>
      <c r="J111" s="160">
        <f>'1º TRIMESTRE'!J111</f>
        <v>0</v>
      </c>
      <c r="K111" s="15">
        <f>'1º TRIMESTRE'!K111</f>
        <v>0</v>
      </c>
      <c r="L111" s="16">
        <f>'1º TRIMESTRE'!L111</f>
        <v>0</v>
      </c>
      <c r="M111" s="160">
        <f>'1º TRIMESTRE'!M111</f>
        <v>0</v>
      </c>
      <c r="N111" s="15">
        <f>'1º TRIMESTRE'!N111</f>
        <v>0</v>
      </c>
      <c r="O111" s="16">
        <f>'1º TRIMESTRE'!O111</f>
        <v>0</v>
      </c>
      <c r="P111" s="171">
        <f>'1º TRIMESTRE'!P111</f>
        <v>0</v>
      </c>
      <c r="Q111" s="15">
        <f>'1º TRIMESTRE'!Q111</f>
        <v>0</v>
      </c>
      <c r="R111" s="16">
        <f>'1º TRIMESTRE'!R111</f>
        <v>0</v>
      </c>
      <c r="S111" s="16"/>
      <c r="T111" s="16">
        <f>'1º TRIMESTRE'!T111+S111</f>
        <v>0</v>
      </c>
      <c r="U111" s="16">
        <f>'1º TRIMESTRE'!U111+S111</f>
        <v>0</v>
      </c>
      <c r="V111" s="16">
        <f>'1º TRIMESTRE'!V111</f>
        <v>0</v>
      </c>
    </row>
  </sheetData>
  <sheetProtection selectLockedCells="1" selectUnlockedCells="1"/>
  <mergeCells count="21">
    <mergeCell ref="A1:V1"/>
    <mergeCell ref="A2:F2"/>
    <mergeCell ref="G2:V2"/>
    <mergeCell ref="A3:F3"/>
    <mergeCell ref="G3:V3"/>
    <mergeCell ref="A5:C5"/>
    <mergeCell ref="A6:A7"/>
    <mergeCell ref="C6:F6"/>
    <mergeCell ref="I6:M6"/>
    <mergeCell ref="G6:H6"/>
    <mergeCell ref="B6:B7"/>
    <mergeCell ref="E5:H5"/>
    <mergeCell ref="Q6:U6"/>
    <mergeCell ref="I5:P5"/>
    <mergeCell ref="F4:H4"/>
    <mergeCell ref="J4:O4"/>
    <mergeCell ref="N6:O6"/>
    <mergeCell ref="P6:P7"/>
    <mergeCell ref="Q4:V4"/>
    <mergeCell ref="Q5:V5"/>
    <mergeCell ref="V6:V7"/>
  </mergeCells>
  <printOptions/>
  <pageMargins left="0.1968503937007874" right="0.1968503937007874" top="0.4330708661417323" bottom="0.4330708661417323" header="0.1968503937007874" footer="0.1968503937007874"/>
  <pageSetup fitToHeight="100" fitToWidth="2" horizontalDpi="600" verticalDpi="600" orientation="landscape" paperSize="9" scale="50" r:id="rId1"/>
  <headerFooter alignWithMargins="0">
    <oddHeader>&amp;C&amp;"Arial,Normal"&amp;10&amp;A</oddHeader>
    <oddFooter>&amp;C&amp;"Arial,Normal"&amp;10Página &amp;P</oddFooter>
  </headerFooter>
</worksheet>
</file>

<file path=xl/worksheets/sheet3.xml><?xml version="1.0" encoding="utf-8"?>
<worksheet xmlns="http://schemas.openxmlformats.org/spreadsheetml/2006/main" xmlns:r="http://schemas.openxmlformats.org/officeDocument/2006/relationships">
  <dimension ref="A1:AP130"/>
  <sheetViews>
    <sheetView zoomScaleSheetLayoutView="100" zoomScalePageLayoutView="0" workbookViewId="0" topLeftCell="B104">
      <selection activeCell="Q111" sqref="Q111"/>
    </sheetView>
  </sheetViews>
  <sheetFormatPr defaultColWidth="9.140625" defaultRowHeight="15"/>
  <cols>
    <col min="1" max="1" width="13.57421875" style="20" customWidth="1"/>
    <col min="2" max="2" width="46.7109375" style="20" customWidth="1"/>
    <col min="3" max="4" width="13.57421875" style="24" hidden="1" customWidth="1"/>
    <col min="5" max="6" width="13.57421875" style="25" hidden="1" customWidth="1"/>
    <col min="7" max="7" width="13.57421875" style="25" customWidth="1"/>
    <col min="8" max="8" width="14.140625" style="25" customWidth="1"/>
    <col min="9" max="9" width="6.28125" style="20" bestFit="1" customWidth="1"/>
    <col min="10" max="10" width="8.421875" style="31" bestFit="1" customWidth="1"/>
    <col min="11" max="11" width="5.7109375" style="11" customWidth="1"/>
    <col min="12" max="12" width="13.57421875" style="25" hidden="1" customWidth="1"/>
    <col min="13" max="13" width="13.57421875" style="31" hidden="1" customWidth="1"/>
    <col min="14" max="14" width="9.28125" style="11" hidden="1" customWidth="1"/>
    <col min="15" max="15" width="13.57421875" style="170" hidden="1" customWidth="1"/>
    <col min="16" max="16" width="13.57421875" style="63" hidden="1" customWidth="1"/>
    <col min="17" max="17" width="8.7109375" style="11" customWidth="1"/>
    <col min="18" max="18" width="10.57421875" style="200" customWidth="1"/>
    <col min="19" max="21" width="11.421875" style="201" customWidth="1"/>
    <col min="22" max="22" width="11.421875" style="11" bestFit="1" customWidth="1"/>
    <col min="23" max="23" width="10.28125" style="20" bestFit="1" customWidth="1"/>
    <col min="24" max="25" width="10.28125" style="20" customWidth="1"/>
    <col min="26" max="16384" width="9.140625" style="20" customWidth="1"/>
  </cols>
  <sheetData>
    <row r="1" spans="1:25" s="27" customFormat="1" ht="10.5">
      <c r="A1" s="210" t="s">
        <v>0</v>
      </c>
      <c r="B1" s="210"/>
      <c r="C1" s="210"/>
      <c r="D1" s="210"/>
      <c r="E1" s="210"/>
      <c r="F1" s="210"/>
      <c r="G1" s="210"/>
      <c r="H1" s="210"/>
      <c r="I1" s="210"/>
      <c r="J1" s="210"/>
      <c r="K1" s="210"/>
      <c r="L1" s="210"/>
      <c r="M1" s="210"/>
      <c r="N1" s="210"/>
      <c r="O1" s="210"/>
      <c r="P1" s="210"/>
      <c r="Q1" s="210"/>
      <c r="R1" s="210"/>
      <c r="S1" s="210"/>
      <c r="T1" s="210"/>
      <c r="U1" s="210"/>
      <c r="V1" s="209"/>
      <c r="W1" s="34"/>
      <c r="X1" s="34"/>
      <c r="Y1" s="34"/>
    </row>
    <row r="2" spans="1:25" s="27" customFormat="1" ht="10.5">
      <c r="A2" s="221" t="s">
        <v>113</v>
      </c>
      <c r="B2" s="221"/>
      <c r="C2" s="221"/>
      <c r="D2" s="221"/>
      <c r="E2" s="221"/>
      <c r="F2" s="221"/>
      <c r="G2" s="222"/>
      <c r="H2" s="222"/>
      <c r="I2" s="222"/>
      <c r="J2" s="222"/>
      <c r="K2" s="222"/>
      <c r="L2" s="222"/>
      <c r="M2" s="222"/>
      <c r="N2" s="222"/>
      <c r="O2" s="222"/>
      <c r="P2" s="222"/>
      <c r="Q2" s="222"/>
      <c r="R2" s="222"/>
      <c r="S2" s="222"/>
      <c r="T2" s="222"/>
      <c r="U2" s="222"/>
      <c r="V2" s="222"/>
      <c r="W2" s="34"/>
      <c r="X2" s="34"/>
      <c r="Y2" s="34"/>
    </row>
    <row r="3" spans="1:25" s="27" customFormat="1" ht="10.5">
      <c r="A3" s="210" t="s">
        <v>84</v>
      </c>
      <c r="B3" s="210"/>
      <c r="C3" s="210"/>
      <c r="D3" s="210"/>
      <c r="E3" s="210"/>
      <c r="F3" s="210"/>
      <c r="G3" s="222"/>
      <c r="H3" s="222"/>
      <c r="I3" s="222"/>
      <c r="J3" s="222"/>
      <c r="K3" s="222"/>
      <c r="L3" s="222"/>
      <c r="M3" s="222"/>
      <c r="N3" s="222"/>
      <c r="O3" s="222"/>
      <c r="P3" s="222"/>
      <c r="Q3" s="222"/>
      <c r="R3" s="222"/>
      <c r="S3" s="222"/>
      <c r="T3" s="222"/>
      <c r="U3" s="222"/>
      <c r="V3" s="222"/>
      <c r="W3" s="34"/>
      <c r="X3" s="34"/>
      <c r="Y3" s="34"/>
    </row>
    <row r="4" spans="1:25" s="27" customFormat="1" ht="10.5">
      <c r="A4" s="183" t="s">
        <v>273</v>
      </c>
      <c r="B4" s="185"/>
      <c r="C4" s="28"/>
      <c r="D4" s="45"/>
      <c r="E4" s="95"/>
      <c r="F4" s="209"/>
      <c r="G4" s="209"/>
      <c r="H4" s="209"/>
      <c r="J4" s="216"/>
      <c r="K4" s="216"/>
      <c r="L4" s="216"/>
      <c r="M4" s="216"/>
      <c r="N4" s="216"/>
      <c r="O4" s="216"/>
      <c r="P4" s="63"/>
      <c r="Q4" s="204" t="s">
        <v>112</v>
      </c>
      <c r="R4" s="204"/>
      <c r="S4" s="204"/>
      <c r="T4" s="204"/>
      <c r="U4" s="204"/>
      <c r="V4" s="204"/>
      <c r="W4" s="34"/>
      <c r="X4" s="34"/>
      <c r="Y4" s="34"/>
    </row>
    <row r="5" spans="1:42" s="27" customFormat="1" ht="10.5">
      <c r="A5" s="210" t="s">
        <v>166</v>
      </c>
      <c r="B5" s="210"/>
      <c r="C5" s="210"/>
      <c r="D5" s="45"/>
      <c r="E5" s="189"/>
      <c r="F5" s="222"/>
      <c r="G5" s="222"/>
      <c r="H5" s="222"/>
      <c r="J5" s="223"/>
      <c r="K5" s="223"/>
      <c r="L5" s="223"/>
      <c r="M5" s="223"/>
      <c r="N5" s="223"/>
      <c r="O5" s="223"/>
      <c r="P5" s="63"/>
      <c r="Q5" s="222" t="s">
        <v>3</v>
      </c>
      <c r="R5" s="222"/>
      <c r="S5" s="222"/>
      <c r="T5" s="222"/>
      <c r="U5" s="222"/>
      <c r="V5" s="222"/>
      <c r="Z5" s="74"/>
      <c r="AC5" s="88"/>
      <c r="AD5" s="88"/>
      <c r="AP5" s="88"/>
    </row>
    <row r="6" spans="1:22" s="30" customFormat="1" ht="10.5">
      <c r="A6" s="203" t="s">
        <v>4</v>
      </c>
      <c r="B6" s="203" t="s">
        <v>5</v>
      </c>
      <c r="C6" s="224" t="s">
        <v>6</v>
      </c>
      <c r="D6" s="225"/>
      <c r="E6" s="225"/>
      <c r="F6" s="226"/>
      <c r="G6" s="224" t="s">
        <v>8</v>
      </c>
      <c r="H6" s="225"/>
      <c r="I6" s="225"/>
      <c r="J6" s="225"/>
      <c r="K6" s="225"/>
      <c r="L6" s="225"/>
      <c r="M6" s="226"/>
      <c r="N6" s="203" t="s">
        <v>9</v>
      </c>
      <c r="O6" s="203"/>
      <c r="P6" s="190"/>
      <c r="Q6" s="203" t="s">
        <v>11</v>
      </c>
      <c r="R6" s="203"/>
      <c r="S6" s="203"/>
      <c r="T6" s="203"/>
      <c r="U6" s="203"/>
      <c r="V6" s="187"/>
    </row>
    <row r="7" spans="1:22" s="30" customFormat="1" ht="53.25">
      <c r="A7" s="203"/>
      <c r="B7" s="203"/>
      <c r="C7" s="184" t="s">
        <v>13</v>
      </c>
      <c r="D7" s="184" t="s">
        <v>14</v>
      </c>
      <c r="E7" s="186" t="s">
        <v>85</v>
      </c>
      <c r="F7" s="186" t="s">
        <v>16</v>
      </c>
      <c r="G7" s="177" t="s">
        <v>17</v>
      </c>
      <c r="H7" s="184" t="s">
        <v>18</v>
      </c>
      <c r="I7" s="176" t="s">
        <v>438</v>
      </c>
      <c r="J7" s="29" t="s">
        <v>19</v>
      </c>
      <c r="K7" s="182" t="s">
        <v>20</v>
      </c>
      <c r="L7" s="186" t="s">
        <v>21</v>
      </c>
      <c r="M7" s="29" t="s">
        <v>22</v>
      </c>
      <c r="N7" s="182" t="s">
        <v>23</v>
      </c>
      <c r="O7" s="186" t="s">
        <v>24</v>
      </c>
      <c r="P7" s="191" t="s">
        <v>10</v>
      </c>
      <c r="Q7" s="182" t="s">
        <v>25</v>
      </c>
      <c r="R7" s="194" t="s">
        <v>26</v>
      </c>
      <c r="S7" s="194" t="s">
        <v>27</v>
      </c>
      <c r="T7" s="194" t="s">
        <v>28</v>
      </c>
      <c r="U7" s="194" t="s">
        <v>29</v>
      </c>
      <c r="V7" s="187" t="s">
        <v>12</v>
      </c>
    </row>
    <row r="8" spans="1:26" ht="21">
      <c r="A8" s="14" t="str">
        <f>'2º TRIMESTRE'!A8</f>
        <v>PREGÃO  / Nº 14/2016</v>
      </c>
      <c r="B8" s="14" t="str">
        <f>'2º TRIMESTRE'!B8</f>
        <v>SERVIÇOS DE LIMPEZA URBANA – DESTINAÇÃO FINAL DOS RESÍDUOS SÓLIDOS </v>
      </c>
      <c r="C8" s="14">
        <f>'2º TRIMESTRE'!C8</f>
        <v>0</v>
      </c>
      <c r="D8" s="14">
        <f>'2º TRIMESTRE'!D8</f>
        <v>0</v>
      </c>
      <c r="E8" s="16">
        <f>'2º TRIMESTRE'!E8</f>
        <v>0</v>
      </c>
      <c r="F8" s="16">
        <f>'2º TRIMESTRE'!F8</f>
        <v>0</v>
      </c>
      <c r="G8" s="14" t="str">
        <f>'2º TRIMESTRE'!G8</f>
        <v>08.165.091/0002-08</v>
      </c>
      <c r="H8" s="14" t="str">
        <f>'2º TRIMESTRE'!H8</f>
        <v>ECOPESA AMBIENTAL S/A                   </v>
      </c>
      <c r="I8" s="14" t="str">
        <f>'2º TRIMESTRE'!I8</f>
        <v>6-022/16</v>
      </c>
      <c r="J8" s="44">
        <f>'2º TRIMESTRE'!J8</f>
        <v>42769</v>
      </c>
      <c r="K8" s="15">
        <f>'2º TRIMESTRE'!K8</f>
        <v>365</v>
      </c>
      <c r="L8" s="16">
        <f>'2º TRIMESTRE'!L8</f>
        <v>38286283.02</v>
      </c>
      <c r="M8" s="44">
        <f>'2º TRIMESTRE'!M8</f>
        <v>44776</v>
      </c>
      <c r="N8" s="15">
        <f>'2º TRIMESTRE'!N8</f>
        <v>1642</v>
      </c>
      <c r="O8" s="16">
        <f>'2º TRIMESTRE'!O8</f>
        <v>190010186.01999998</v>
      </c>
      <c r="P8" s="57">
        <f>'2º TRIMESTRE'!P8</f>
        <v>8446263.3</v>
      </c>
      <c r="Q8" s="15" t="str">
        <f>'2º TRIMESTRE'!Q8</f>
        <v>3.3.90.39</v>
      </c>
      <c r="R8" s="195">
        <f>'2º TRIMESTRE'!R8+7052818.18</f>
        <v>180975308.75</v>
      </c>
      <c r="S8" s="195">
        <v>10014085.71</v>
      </c>
      <c r="T8" s="195">
        <f>'2º TRIMESTRE'!T8+S8</f>
        <v>25710988.3</v>
      </c>
      <c r="U8" s="195">
        <f>'2º TRIMESTRE'!U8+S8</f>
        <v>180975308.75</v>
      </c>
      <c r="V8" s="15" t="str">
        <f>'2º TRIMESTRE'!V8</f>
        <v>andamento</v>
      </c>
      <c r="W8" s="41"/>
      <c r="X8" s="41"/>
      <c r="Y8" s="41"/>
      <c r="Z8" s="38"/>
    </row>
    <row r="9" spans="1:26" ht="31.5">
      <c r="A9" s="14" t="str">
        <f>'2º TRIMESTRE'!A9</f>
        <v>CONCORRÊNCIA 03/2016</v>
      </c>
      <c r="B9" s="14" t="str">
        <f>'2º TRIMESTRE'!B9</f>
        <v>SERVIÇOS DE APOIO TÉCNICO AO MKONITORAMENTO DAS AÇÕES DE MANUTENÇÃO DO SISTEMA VIÁRIO DA CIDADE DO RECIFE, </v>
      </c>
      <c r="C9" s="14">
        <f>'2º TRIMESTRE'!C9</f>
        <v>0</v>
      </c>
      <c r="D9" s="14">
        <f>'2º TRIMESTRE'!D9</f>
        <v>0</v>
      </c>
      <c r="E9" s="16">
        <f>'2º TRIMESTRE'!E9</f>
        <v>0</v>
      </c>
      <c r="F9" s="16">
        <f>'2º TRIMESTRE'!F9</f>
        <v>0</v>
      </c>
      <c r="G9" s="14" t="str">
        <f>'2º TRIMESTRE'!G9</f>
        <v>41.075.755/0001-32 </v>
      </c>
      <c r="H9" s="14" t="str">
        <f>'2º TRIMESTRE'!H9</f>
        <v>NORCONSULT PROJETOS E CONSULTORIA LTDA</v>
      </c>
      <c r="I9" s="14" t="str">
        <f>'2º TRIMESTRE'!I9</f>
        <v>6-023/16</v>
      </c>
      <c r="J9" s="44">
        <f>'2º TRIMESTRE'!J9</f>
        <v>42772</v>
      </c>
      <c r="K9" s="15">
        <f>'2º TRIMESTRE'!K9</f>
        <v>365</v>
      </c>
      <c r="L9" s="16">
        <f>'2º TRIMESTRE'!L9</f>
        <v>1777584.96</v>
      </c>
      <c r="M9" s="44">
        <f>'2º TRIMESTRE'!M9</f>
        <v>44597</v>
      </c>
      <c r="N9" s="15">
        <f>'2º TRIMESTRE'!N9</f>
        <v>1460</v>
      </c>
      <c r="O9" s="16">
        <f>'2º TRIMESTRE'!O9</f>
        <v>8848759.44</v>
      </c>
      <c r="P9" s="57">
        <f>'2º TRIMESTRE'!P9</f>
        <v>88092.12</v>
      </c>
      <c r="Q9" s="15" t="str">
        <f>'2º TRIMESTRE'!Q9</f>
        <v>3.3.90.39</v>
      </c>
      <c r="R9" s="195">
        <f>'2º TRIMESTRE'!R9</f>
        <v>6723678.390000001</v>
      </c>
      <c r="S9" s="195">
        <v>0</v>
      </c>
      <c r="T9" s="195">
        <f>'2º TRIMESTRE'!T9+S9</f>
        <v>123781.23000000001</v>
      </c>
      <c r="U9" s="195">
        <f>'2º TRIMESTRE'!U9+S9</f>
        <v>6723678.389999999</v>
      </c>
      <c r="V9" s="15" t="str">
        <f>'2º TRIMESTRE'!V9</f>
        <v>encerrado</v>
      </c>
      <c r="W9" s="41"/>
      <c r="X9" s="41"/>
      <c r="Y9" s="41"/>
      <c r="Z9" s="38"/>
    </row>
    <row r="10" spans="1:26" ht="21">
      <c r="A10" s="14" t="str">
        <f>'2º TRIMESTRE'!A10</f>
        <v>PREGÃO  / Nº 14/2016</v>
      </c>
      <c r="B10" s="14" t="str">
        <f>'2º TRIMESTRE'!B10</f>
        <v>SERVIÇOS DE LIMPEZA URBANA – DESTINAÇÃO FINAL DOS RESÍDUOS SÓLIDOS </v>
      </c>
      <c r="C10" s="14">
        <f>'2º TRIMESTRE'!C10</f>
        <v>0</v>
      </c>
      <c r="D10" s="14">
        <f>'2º TRIMESTRE'!D10</f>
        <v>0</v>
      </c>
      <c r="E10" s="16">
        <f>'2º TRIMESTRE'!E10</f>
        <v>0</v>
      </c>
      <c r="F10" s="16">
        <f>'2º TRIMESTRE'!F10</f>
        <v>0</v>
      </c>
      <c r="G10" s="14" t="str">
        <f>'2º TRIMESTRE'!G10</f>
        <v>08.165.091/0002-08</v>
      </c>
      <c r="H10" s="14" t="str">
        <f>'2º TRIMESTRE'!H10</f>
        <v>ECOPESA AMBIENTAL S/A                   </v>
      </c>
      <c r="I10" s="14" t="str">
        <f>'2º TRIMESTRE'!I10</f>
        <v>6-024/16</v>
      </c>
      <c r="J10" s="44">
        <f>'2º TRIMESTRE'!J10</f>
        <v>42769</v>
      </c>
      <c r="K10" s="15">
        <f>'2º TRIMESTRE'!K10</f>
        <v>365</v>
      </c>
      <c r="L10" s="16">
        <f>'2º TRIMESTRE'!L10</f>
        <v>8888698.49</v>
      </c>
      <c r="M10" s="44">
        <f>'2º TRIMESTRE'!M10</f>
        <v>44776</v>
      </c>
      <c r="N10" s="15">
        <f>'2º TRIMESTRE'!N10</f>
        <v>1642</v>
      </c>
      <c r="O10" s="16">
        <f>'2º TRIMESTRE'!O10</f>
        <v>43850158.57</v>
      </c>
      <c r="P10" s="57">
        <f>'2º TRIMESTRE'!P10</f>
        <v>2479017.23</v>
      </c>
      <c r="Q10" s="15" t="str">
        <f>'2º TRIMESTRE'!Q10</f>
        <v>3.3.90.39</v>
      </c>
      <c r="R10" s="195">
        <f>'2º TRIMESTRE'!R10+1689751.68</f>
        <v>42836389.18000001</v>
      </c>
      <c r="S10" s="195">
        <v>2367411.32</v>
      </c>
      <c r="T10" s="195">
        <f>'2º TRIMESTRE'!T10+S10</f>
        <v>6320341.2299999995</v>
      </c>
      <c r="U10" s="195">
        <f>'2º TRIMESTRE'!U10+S10</f>
        <v>42836399.46000001</v>
      </c>
      <c r="V10" s="15" t="str">
        <f>'2º TRIMESTRE'!V10</f>
        <v>andamento</v>
      </c>
      <c r="W10" s="41"/>
      <c r="X10" s="41"/>
      <c r="Y10" s="41"/>
      <c r="Z10" s="38"/>
    </row>
    <row r="11" spans="1:26" ht="31.5">
      <c r="A11" s="14" t="str">
        <f>'2º TRIMESTRE'!A11</f>
        <v>PREGÃO PRESENCIAL/ Nº 014/2016</v>
      </c>
      <c r="B11" s="14" t="str">
        <f>'2º TRIMESTRE'!B11</f>
        <v>SERVIÇO DE LIMPEZA URBANA - DESTINAÇÃO FINAL DOS RESÍDUOS SÓLIDOS</v>
      </c>
      <c r="C11" s="14">
        <f>'2º TRIMESTRE'!C11</f>
        <v>0</v>
      </c>
      <c r="D11" s="14">
        <f>'2º TRIMESTRE'!D11</f>
        <v>0</v>
      </c>
      <c r="E11" s="16">
        <f>'2º TRIMESTRE'!E11</f>
        <v>0</v>
      </c>
      <c r="F11" s="16">
        <f>'2º TRIMESTRE'!F11</f>
        <v>0</v>
      </c>
      <c r="G11" s="14" t="str">
        <f>'2º TRIMESTRE'!G11</f>
        <v>41.116.138/0001-38</v>
      </c>
      <c r="H11" s="14" t="str">
        <f>'2º TRIMESTRE'!H11</f>
        <v>CICLO AMBIENTAL LTDA</v>
      </c>
      <c r="I11" s="14" t="str">
        <f>'2º TRIMESTRE'!I11</f>
        <v>6-025/16</v>
      </c>
      <c r="J11" s="44">
        <f>'2º TRIMESTRE'!J11</f>
        <v>42814</v>
      </c>
      <c r="K11" s="15">
        <f>'2º TRIMESTRE'!K11</f>
        <v>365</v>
      </c>
      <c r="L11" s="16">
        <f>'2º TRIMESTRE'!L11</f>
        <v>3423770.88</v>
      </c>
      <c r="M11" s="44">
        <f>'2º TRIMESTRE'!M11</f>
        <v>44959</v>
      </c>
      <c r="N11" s="15">
        <f>'2º TRIMESTRE'!N11</f>
        <v>1780</v>
      </c>
      <c r="O11" s="16">
        <f>'2º TRIMESTRE'!O11</f>
        <v>23484577.2</v>
      </c>
      <c r="P11" s="57">
        <f>'2º TRIMESTRE'!P11</f>
        <v>559078.56</v>
      </c>
      <c r="Q11" s="15" t="str">
        <f>'2º TRIMESTRE'!Q11</f>
        <v>3.3.90.39</v>
      </c>
      <c r="R11" s="195">
        <f>'2º TRIMESTRE'!R11</f>
        <v>21047005.59</v>
      </c>
      <c r="S11" s="195">
        <v>0</v>
      </c>
      <c r="T11" s="195">
        <f>'2º TRIMESTRE'!T11+S11</f>
        <v>885906.21</v>
      </c>
      <c r="U11" s="195">
        <f>'2º TRIMESTRE'!U11+S11</f>
        <v>21047005.59</v>
      </c>
      <c r="V11" s="15" t="str">
        <f>'2º TRIMESTRE'!V11</f>
        <v>andamento</v>
      </c>
      <c r="W11" s="41"/>
      <c r="X11" s="41"/>
      <c r="Y11" s="41"/>
      <c r="Z11" s="38"/>
    </row>
    <row r="12" spans="1:26" ht="21">
      <c r="A12" s="14" t="str">
        <f>'2º TRIMESTRE'!A12</f>
        <v>TOMADA DE PREÇOS /nº 07/2016</v>
      </c>
      <c r="B12" s="14" t="str">
        <f>'2º TRIMESTRE'!B12</f>
        <v>SEVIÇOS CONTÍNUOS DE MANUTENÇÃO CORRETIVA E PREVENTIVA E EXPANSÃO DA ILUMINAÇÃO ESPECIAL NA CIDADE DO RECIFE</v>
      </c>
      <c r="C12" s="14">
        <f>'2º TRIMESTRE'!C12</f>
        <v>0</v>
      </c>
      <c r="D12" s="14">
        <f>'2º TRIMESTRE'!D12</f>
        <v>0</v>
      </c>
      <c r="E12" s="16">
        <f>'2º TRIMESTRE'!E12</f>
        <v>0</v>
      </c>
      <c r="F12" s="16">
        <f>'2º TRIMESTRE'!F12</f>
        <v>0</v>
      </c>
      <c r="G12" s="14" t="str">
        <f>'2º TRIMESTRE'!G12</f>
        <v>41.116.138/0001-38</v>
      </c>
      <c r="H12" s="14" t="str">
        <f>'2º TRIMESTRE'!H12</f>
        <v>REAL ENERGY LTDA                                            </v>
      </c>
      <c r="I12" s="14" t="str">
        <f>'2º TRIMESTRE'!I12</f>
        <v>6-002/17</v>
      </c>
      <c r="J12" s="44">
        <f>'2º TRIMESTRE'!J12</f>
        <v>42795</v>
      </c>
      <c r="K12" s="15">
        <f>'2º TRIMESTRE'!K12</f>
        <v>365</v>
      </c>
      <c r="L12" s="16">
        <f>'2º TRIMESTRE'!L12</f>
        <v>1223866.8</v>
      </c>
      <c r="M12" s="44">
        <f>'2º TRIMESTRE'!M12</f>
        <v>44620</v>
      </c>
      <c r="N12" s="15">
        <f>'2º TRIMESTRE'!N12</f>
        <v>1460</v>
      </c>
      <c r="O12" s="16">
        <f>'2º TRIMESTRE'!O12</f>
        <v>4923839.5200000005</v>
      </c>
      <c r="P12" s="57">
        <f>'2º TRIMESTRE'!P12</f>
        <v>81998.64</v>
      </c>
      <c r="Q12" s="15" t="str">
        <f>'2º TRIMESTRE'!Q12</f>
        <v>3.3.90.39</v>
      </c>
      <c r="R12" s="195">
        <f>'2º TRIMESTRE'!R12</f>
        <v>6138666.41</v>
      </c>
      <c r="S12" s="195">
        <v>0</v>
      </c>
      <c r="T12" s="195">
        <f>'2º TRIMESTRE'!T12+S12</f>
        <v>219564.08</v>
      </c>
      <c r="U12" s="195">
        <f>'2º TRIMESTRE'!U12+S12</f>
        <v>6138666.410000001</v>
      </c>
      <c r="V12" s="15" t="str">
        <f>'2º TRIMESTRE'!V12</f>
        <v>encerrado</v>
      </c>
      <c r="W12" s="41"/>
      <c r="X12" s="41"/>
      <c r="Y12" s="41"/>
      <c r="Z12" s="38"/>
    </row>
    <row r="13" spans="1:26" ht="31.5">
      <c r="A13" s="14" t="str">
        <f>'2º TRIMESTRE'!A13</f>
        <v> PREGÃO PRESENCIAL Licitação: 4/2017</v>
      </c>
      <c r="B13" s="14" t="str">
        <f>'2º TRIMESTRE'!B13</f>
        <v>SERVIÇOS ESPECIALIZADOS DE ENGENHARIA AGRONÔMICA COM SERVIÇOS DE MANUTENÇÃO DE ARBORETO, PARQUES, PRAÇAS E DEMAIS ÁREAS VERDES</v>
      </c>
      <c r="C13" s="14">
        <f>'2º TRIMESTRE'!C13</f>
        <v>0</v>
      </c>
      <c r="D13" s="14">
        <f>'2º TRIMESTRE'!D13</f>
        <v>0</v>
      </c>
      <c r="E13" s="16">
        <f>'2º TRIMESTRE'!E13</f>
        <v>0</v>
      </c>
      <c r="F13" s="16">
        <f>'2º TRIMESTRE'!F13</f>
        <v>0</v>
      </c>
      <c r="G13" s="14" t="str">
        <f>'2º TRIMESTRE'!G13</f>
        <v>00.449.936/0001-02</v>
      </c>
      <c r="H13" s="14" t="str">
        <f>'2º TRIMESTRE'!H13</f>
        <v>ENGEMAIA E CIA LTDA</v>
      </c>
      <c r="I13" s="14" t="str">
        <f>'2º TRIMESTRE'!I13</f>
        <v>6-013/17</v>
      </c>
      <c r="J13" s="44">
        <f>'2º TRIMESTRE'!J13</f>
        <v>42940</v>
      </c>
      <c r="K13" s="15">
        <f>'2º TRIMESTRE'!K13</f>
        <v>365</v>
      </c>
      <c r="L13" s="16">
        <f>'2º TRIMESTRE'!L13</f>
        <v>11944999.92</v>
      </c>
      <c r="M13" s="44">
        <f>'2º TRIMESTRE'!M13</f>
        <v>44765</v>
      </c>
      <c r="N13" s="15">
        <f>'2º TRIMESTRE'!N13</f>
        <v>1460</v>
      </c>
      <c r="O13" s="16">
        <f>'2º TRIMESTRE'!O13</f>
        <v>60684020.43</v>
      </c>
      <c r="P13" s="57">
        <f>'2º TRIMESTRE'!P13</f>
        <v>1492079.88</v>
      </c>
      <c r="Q13" s="15" t="str">
        <f>'2º TRIMESTRE'!Q13</f>
        <v>3.3.90.39</v>
      </c>
      <c r="R13" s="195">
        <f>'2º TRIMESTRE'!R13</f>
        <v>47074444.919999994</v>
      </c>
      <c r="S13" s="195">
        <v>0</v>
      </c>
      <c r="T13" s="195">
        <f>'2º TRIMESTRE'!T13+S13</f>
        <v>6219026.84</v>
      </c>
      <c r="U13" s="195">
        <f>'2º TRIMESTRE'!U13+S13</f>
        <v>47074444.92000001</v>
      </c>
      <c r="V13" s="15" t="s">
        <v>188</v>
      </c>
      <c r="W13" s="41"/>
      <c r="X13" s="41"/>
      <c r="Y13" s="41"/>
      <c r="Z13" s="38"/>
    </row>
    <row r="14" spans="1:26" ht="31.5">
      <c r="A14" s="14" t="str">
        <f>'2º TRIMESTRE'!A14</f>
        <v>CONCORRÊNCIA Licitação: 10/2018</v>
      </c>
      <c r="B14" s="14" t="str">
        <f>'2º TRIMESTRE'!B14</f>
        <v>SERVIÇOS DE MANUTENÇÃO PREVENTIVA DO SISTEMA DE MACRODRENAGEM EM TODAS AS RPA'S DA CIDADE DO RECIFE - RPA 01 E 06</v>
      </c>
      <c r="C14" s="14" t="str">
        <f>'2º TRIMESTRE'!C14</f>
        <v>495721/2018 e 535346/2020</v>
      </c>
      <c r="D14" s="14" t="str">
        <f>'2º TRIMESTRE'!D14</f>
        <v>FINISA</v>
      </c>
      <c r="E14" s="16">
        <f>'2º TRIMESTRE'!E14</f>
        <v>184899815.11999997</v>
      </c>
      <c r="F14" s="16">
        <f>'2º TRIMESTRE'!F14</f>
        <v>0</v>
      </c>
      <c r="G14" s="14" t="str">
        <f>'2º TRIMESTRE'!G14</f>
        <v>01.514.128/0001-36</v>
      </c>
      <c r="H14" s="14" t="str">
        <f>'2º TRIMESTRE'!H14</f>
        <v>SCAVE SERVICOS DE ENGENHARIA E LOCACAO LTDA</v>
      </c>
      <c r="I14" s="14" t="str">
        <f>'2º TRIMESTRE'!I14</f>
        <v>6-017/19</v>
      </c>
      <c r="J14" s="44">
        <f>'2º TRIMESTRE'!J14</f>
        <v>43571</v>
      </c>
      <c r="K14" s="15">
        <f>'2º TRIMESTRE'!K14</f>
        <v>1125</v>
      </c>
      <c r="L14" s="16">
        <f>'2º TRIMESTRE'!L14</f>
        <v>10309281.7</v>
      </c>
      <c r="M14" s="44">
        <f>'2º TRIMESTRE'!M14</f>
        <v>44696</v>
      </c>
      <c r="N14" s="15">
        <f>'2º TRIMESTRE'!N14</f>
        <v>0</v>
      </c>
      <c r="O14" s="16">
        <f>'2º TRIMESTRE'!O14</f>
        <v>0</v>
      </c>
      <c r="P14" s="57">
        <f>'2º TRIMESTRE'!P14</f>
        <v>2800566.42</v>
      </c>
      <c r="Q14" s="15" t="str">
        <f>'2º TRIMESTRE'!Q14</f>
        <v>4.4.90.39</v>
      </c>
      <c r="R14" s="195">
        <f>'2º TRIMESTRE'!R14</f>
        <v>6258452.369999999</v>
      </c>
      <c r="S14" s="195">
        <v>0</v>
      </c>
      <c r="T14" s="195">
        <f>'2º TRIMESTRE'!T14+S14</f>
        <v>1784003.31</v>
      </c>
      <c r="U14" s="195">
        <f>'2º TRIMESTRE'!U14+S14</f>
        <v>6258452.370000001</v>
      </c>
      <c r="V14" s="15" t="str">
        <f>'2º TRIMESTRE'!V14</f>
        <v>encerrado</v>
      </c>
      <c r="W14" s="41"/>
      <c r="X14" s="41"/>
      <c r="Y14" s="41"/>
      <c r="Z14" s="38"/>
    </row>
    <row r="15" spans="1:26" ht="31.5">
      <c r="A15" s="14" t="str">
        <f>'2º TRIMESTRE'!A15</f>
        <v>CONCORRÊNCIA Licitação: 10/2018</v>
      </c>
      <c r="B15" s="14" t="str">
        <f>'2º TRIMESTRE'!B15</f>
        <v>SERVIÇOS DE MANUTENÇÃO PREVENTIVA DO SISTEMA DE MACRODRENAGEM EM TODAS AS RPA'S DA CIDADE DO RECIFE - RPA 02 e 03</v>
      </c>
      <c r="C15" s="14" t="str">
        <f>'2º TRIMESTRE'!C15</f>
        <v>495721/2018 e 535346/2020</v>
      </c>
      <c r="D15" s="14" t="str">
        <f>'2º TRIMESTRE'!D15</f>
        <v>FINISA</v>
      </c>
      <c r="E15" s="16">
        <f>'2º TRIMESTRE'!E15</f>
        <v>184899815.11999997</v>
      </c>
      <c r="F15" s="16">
        <f>'2º TRIMESTRE'!F15</f>
        <v>0</v>
      </c>
      <c r="G15" s="14" t="str">
        <f>'2º TRIMESTRE'!G15</f>
        <v>01.514.128/0001-36</v>
      </c>
      <c r="H15" s="14" t="str">
        <f>'2º TRIMESTRE'!H15</f>
        <v>SCAVE SERVICOS DE ENGENHARIA E LOCACAO LTDA</v>
      </c>
      <c r="I15" s="14" t="str">
        <f>'2º TRIMESTRE'!I15</f>
        <v>6-018/19</v>
      </c>
      <c r="J15" s="44">
        <f>'2º TRIMESTRE'!J15</f>
        <v>43571</v>
      </c>
      <c r="K15" s="15">
        <f>'2º TRIMESTRE'!K15</f>
        <v>1125</v>
      </c>
      <c r="L15" s="16">
        <f>'2º TRIMESTRE'!L15</f>
        <v>11446659.06</v>
      </c>
      <c r="M15" s="44">
        <f>'2º TRIMESTRE'!M15</f>
        <v>44696</v>
      </c>
      <c r="N15" s="15">
        <f>'2º TRIMESTRE'!N15</f>
        <v>0</v>
      </c>
      <c r="O15" s="16">
        <f>'2º TRIMESTRE'!O15</f>
        <v>5430.8</v>
      </c>
      <c r="P15" s="57">
        <f>'2º TRIMESTRE'!P15</f>
        <v>1849376.19</v>
      </c>
      <c r="Q15" s="15" t="str">
        <f>'2º TRIMESTRE'!Q15</f>
        <v>4.4.90.39</v>
      </c>
      <c r="R15" s="195">
        <f>'2º TRIMESTRE'!R15</f>
        <v>6500517.92</v>
      </c>
      <c r="S15" s="195">
        <v>0</v>
      </c>
      <c r="T15" s="195">
        <f>'2º TRIMESTRE'!T15+S15</f>
        <v>2064335.97</v>
      </c>
      <c r="U15" s="195">
        <f>'2º TRIMESTRE'!U15+S15</f>
        <v>6500517.919999999</v>
      </c>
      <c r="V15" s="15" t="str">
        <f>'2º TRIMESTRE'!V15</f>
        <v>encerrado</v>
      </c>
      <c r="W15" s="41"/>
      <c r="X15" s="41"/>
      <c r="Y15" s="41"/>
      <c r="Z15" s="38"/>
    </row>
    <row r="16" spans="1:26" ht="31.5">
      <c r="A16" s="14" t="str">
        <f>'2º TRIMESTRE'!A16</f>
        <v>CONCORRÊNCIA Licitação: 10/2018</v>
      </c>
      <c r="B16" s="14" t="str">
        <f>'2º TRIMESTRE'!B16</f>
        <v>SERVIÇOS DE MANUTENÇÃO PREVENTIVA DO SISTEMA DE MACRODRENAGEM EM TODAS AS RPA'S DA CIDADE DO RECIFE - RPA 04, 05</v>
      </c>
      <c r="C16" s="14" t="str">
        <f>'2º TRIMESTRE'!C16</f>
        <v>495721/2018 e 535346/2020</v>
      </c>
      <c r="D16" s="14" t="str">
        <f>'2º TRIMESTRE'!D16</f>
        <v>FINISA</v>
      </c>
      <c r="E16" s="16">
        <f>'2º TRIMESTRE'!E16</f>
        <v>184899815.11999997</v>
      </c>
      <c r="F16" s="16">
        <f>'2º TRIMESTRE'!F16</f>
        <v>0</v>
      </c>
      <c r="G16" s="14" t="str">
        <f>'2º TRIMESTRE'!G16</f>
        <v>01.514.128/0001-36</v>
      </c>
      <c r="H16" s="14" t="str">
        <f>'2º TRIMESTRE'!H16</f>
        <v>SCAVE SERVICOS DE ENGENHARIA E LOCACAO LTDA</v>
      </c>
      <c r="I16" s="14" t="str">
        <f>'2º TRIMESTRE'!I16</f>
        <v>6-019/19</v>
      </c>
      <c r="J16" s="44">
        <f>'2º TRIMESTRE'!J16</f>
        <v>43571</v>
      </c>
      <c r="K16" s="15">
        <f>'2º TRIMESTRE'!K16</f>
        <v>1125</v>
      </c>
      <c r="L16" s="16">
        <f>'2º TRIMESTRE'!L16</f>
        <v>11869839.78</v>
      </c>
      <c r="M16" s="44">
        <f>'2º TRIMESTRE'!M16</f>
        <v>44696</v>
      </c>
      <c r="N16" s="15">
        <f>'2º TRIMESTRE'!N16</f>
        <v>0</v>
      </c>
      <c r="O16" s="16">
        <f>'2º TRIMESTRE'!O16</f>
        <v>310156</v>
      </c>
      <c r="P16" s="57">
        <f>'2º TRIMESTRE'!P16</f>
        <v>3232749.75</v>
      </c>
      <c r="Q16" s="15" t="str">
        <f>'2º TRIMESTRE'!Q16</f>
        <v>4.4.90.39</v>
      </c>
      <c r="R16" s="195">
        <f>'2º TRIMESTRE'!R16</f>
        <v>9555828.559999999</v>
      </c>
      <c r="S16" s="195">
        <v>0</v>
      </c>
      <c r="T16" s="195">
        <f>'2º TRIMESTRE'!T16+S16</f>
        <v>2689195.29</v>
      </c>
      <c r="U16" s="195">
        <f>'2º TRIMESTRE'!U16+S16</f>
        <v>9555828.56</v>
      </c>
      <c r="V16" s="15" t="str">
        <f>'2º TRIMESTRE'!V16</f>
        <v>encerrado</v>
      </c>
      <c r="W16" s="41"/>
      <c r="X16" s="41"/>
      <c r="Y16" s="41"/>
      <c r="Z16" s="38"/>
    </row>
    <row r="17" spans="1:26" ht="42.75">
      <c r="A17" s="14" t="str">
        <f>'2º TRIMESTRE'!A17</f>
        <v>CONCORRÊNCIA Licitação:    004/2019</v>
      </c>
      <c r="B17" s="14" t="str">
        <f>'2º TRIMESTRE'!B17</f>
        <v>SERVIÇOS COMPLEMENTARES DE LIMPEZA URBANA EM ÁREAS PLANAS E DE TALUDE E SERVIÇOS DE MANUTENÇÃO CONTÍNUA PREVENTIVA E CORRETIVA DA ARBORIZAÇÃO URBANA EM MORROS, INCLUINDO A LOCAÇÃO DE VEÍCULOS E EQUIPAMENTOS.</v>
      </c>
      <c r="C17" s="14">
        <f>'2º TRIMESTRE'!C17</f>
        <v>0</v>
      </c>
      <c r="D17" s="14">
        <f>'2º TRIMESTRE'!D17</f>
        <v>0</v>
      </c>
      <c r="E17" s="16">
        <f>'2º TRIMESTRE'!E17</f>
        <v>0</v>
      </c>
      <c r="F17" s="16">
        <f>'2º TRIMESTRE'!F17</f>
        <v>0</v>
      </c>
      <c r="G17" s="14" t="str">
        <f>'2º TRIMESTRE'!G17</f>
        <v>40.884.405/0001-54</v>
      </c>
      <c r="H17" s="14" t="str">
        <f>'2º TRIMESTRE'!H17</f>
        <v>LOQUIPE LOCACAO DE EQUIPAMENTOS E MAO DE OBRA LTDA</v>
      </c>
      <c r="I17" s="14" t="str">
        <f>'2º TRIMESTRE'!I17</f>
        <v>6-024/19</v>
      </c>
      <c r="J17" s="44">
        <f>'2º TRIMESTRE'!J17</f>
        <v>43633</v>
      </c>
      <c r="K17" s="15">
        <f>'2º TRIMESTRE'!K17</f>
        <v>395</v>
      </c>
      <c r="L17" s="16">
        <f>'2º TRIMESTRE'!L17</f>
        <v>12390281.28</v>
      </c>
      <c r="M17" s="44">
        <f>'2º TRIMESTRE'!M17</f>
        <v>44758</v>
      </c>
      <c r="N17" s="15">
        <f>'2º TRIMESTRE'!N17+365</f>
        <v>1095</v>
      </c>
      <c r="O17" s="16">
        <f>'2º TRIMESTRE'!O17+14863992.96</f>
        <v>42968949.84</v>
      </c>
      <c r="P17" s="57">
        <f>'2º TRIMESTRE'!P17</f>
        <v>2473711.68</v>
      </c>
      <c r="Q17" s="15" t="str">
        <f>'2º TRIMESTRE'!Q17</f>
        <v>3.3.90.39</v>
      </c>
      <c r="R17" s="195">
        <f>'2º TRIMESTRE'!R17+2753147.31</f>
        <v>28002991.94</v>
      </c>
      <c r="S17" s="195">
        <v>2861891.86</v>
      </c>
      <c r="T17" s="195">
        <f>'2º TRIMESTRE'!T17+S17</f>
        <v>7332445</v>
      </c>
      <c r="U17" s="195">
        <f>'2º TRIMESTRE'!U17+S17</f>
        <v>28002991.94</v>
      </c>
      <c r="V17" s="15" t="str">
        <f>'2º TRIMESTRE'!V17</f>
        <v>andamento</v>
      </c>
      <c r="W17" s="41"/>
      <c r="X17" s="41"/>
      <c r="Y17" s="41"/>
      <c r="Z17" s="38"/>
    </row>
    <row r="18" spans="1:26" ht="53.25">
      <c r="A18" s="14" t="str">
        <f>'2º TRIMESTRE'!A18</f>
        <v>CONCORRÊNCIA / nº 007/2019</v>
      </c>
      <c r="B18" s="14" t="str">
        <f>'2º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14">
        <f>'2º TRIMESTRE'!C18</f>
        <v>0</v>
      </c>
      <c r="D18" s="14">
        <f>'2º TRIMESTRE'!D18</f>
        <v>0</v>
      </c>
      <c r="E18" s="16">
        <f>'2º TRIMESTRE'!E18</f>
        <v>0</v>
      </c>
      <c r="F18" s="16">
        <f>'2º TRIMESTRE'!F18</f>
        <v>0</v>
      </c>
      <c r="G18" s="14" t="str">
        <f>'2º TRIMESTRE'!G18</f>
        <v>41.116.138/0001-38</v>
      </c>
      <c r="H18" s="14" t="str">
        <f>'2º TRIMESTRE'!H18</f>
        <v>REAL ENERGY LTDA</v>
      </c>
      <c r="I18" s="14" t="str">
        <f>'2º TRIMESTRE'!I18</f>
        <v>6-051/19</v>
      </c>
      <c r="J18" s="44">
        <f>'2º TRIMESTRE'!J18</f>
        <v>43769</v>
      </c>
      <c r="K18" s="15">
        <f>'2º TRIMESTRE'!K18</f>
        <v>760</v>
      </c>
      <c r="L18" s="16">
        <f>'2º TRIMESTRE'!L18</f>
        <v>2584195.6</v>
      </c>
      <c r="M18" s="44">
        <f>'2º TRIMESTRE'!M18</f>
        <v>44619</v>
      </c>
      <c r="N18" s="15">
        <f>'2º TRIMESTRE'!N18</f>
        <v>90</v>
      </c>
      <c r="O18" s="16">
        <f>'2º TRIMESTRE'!O18</f>
        <v>327163.7</v>
      </c>
      <c r="P18" s="57">
        <f>'2º TRIMESTRE'!P18</f>
        <v>-44558.22</v>
      </c>
      <c r="Q18" s="15" t="str">
        <f>'2º TRIMESTRE'!Q18</f>
        <v>3.3.90.39</v>
      </c>
      <c r="R18" s="195">
        <f>'2º TRIMESTRE'!R18</f>
        <v>2051214.3</v>
      </c>
      <c r="S18" s="195"/>
      <c r="T18" s="195">
        <f>'2º TRIMESTRE'!T18+S18</f>
        <v>65458.07</v>
      </c>
      <c r="U18" s="195">
        <f>'2º TRIMESTRE'!U18+S18</f>
        <v>2051214.3000000003</v>
      </c>
      <c r="V18" s="15" t="str">
        <f>'2º TRIMESTRE'!V18</f>
        <v>encerrado</v>
      </c>
      <c r="W18" s="41"/>
      <c r="X18" s="41"/>
      <c r="Y18" s="41"/>
      <c r="Z18" s="38"/>
    </row>
    <row r="19" spans="1:26" ht="21">
      <c r="A19" s="14" t="str">
        <f>'2º TRIMESTRE'!A19</f>
        <v>TOMADA DE PREÇOS Licitação: 1/2020</v>
      </c>
      <c r="B19" s="14" t="str">
        <f>'2º TRIMESTRE'!B19</f>
        <v>PRESTAÇÃO DE SERVIÇO DE MANUTENÇÃO E RECUPERAÇÃO AMBIENTAL DO ATERRO CONTROLADO DA MURIBECA</v>
      </c>
      <c r="C19" s="14">
        <f>'2º TRIMESTRE'!C19</f>
        <v>0</v>
      </c>
      <c r="D19" s="14">
        <f>'2º TRIMESTRE'!D19</f>
        <v>0</v>
      </c>
      <c r="E19" s="16">
        <f>'2º TRIMESTRE'!E19</f>
        <v>0</v>
      </c>
      <c r="F19" s="16">
        <f>'2º TRIMESTRE'!F19</f>
        <v>0</v>
      </c>
      <c r="G19" s="14" t="str">
        <f>'2º TRIMESTRE'!G19</f>
        <v>07.693.988/0001-60</v>
      </c>
      <c r="H19" s="14" t="str">
        <f>'2º TRIMESTRE'!H19</f>
        <v>F R F ENGENHARIA LTDA</v>
      </c>
      <c r="I19" s="14" t="str">
        <f>'2º TRIMESTRE'!I19</f>
        <v>6-013/20</v>
      </c>
      <c r="J19" s="44">
        <f>'2º TRIMESTRE'!J19</f>
        <v>44007</v>
      </c>
      <c r="K19" s="15">
        <f>'2º TRIMESTRE'!K19</f>
        <v>760</v>
      </c>
      <c r="L19" s="16">
        <f>'2º TRIMESTRE'!L19</f>
        <v>1152030.38</v>
      </c>
      <c r="M19" s="44">
        <f>'2º TRIMESTRE'!M19+180</f>
        <v>44947</v>
      </c>
      <c r="N19" s="15">
        <f>'2º TRIMESTRE'!N19+180</f>
        <v>180</v>
      </c>
      <c r="O19" s="16">
        <f>'2º TRIMESTRE'!O19</f>
        <v>0</v>
      </c>
      <c r="P19" s="57">
        <f>'2º TRIMESTRE'!P19</f>
        <v>0</v>
      </c>
      <c r="Q19" s="15" t="str">
        <f>'2º TRIMESTRE'!Q19</f>
        <v>3.3.90.39</v>
      </c>
      <c r="R19" s="195">
        <f>'2º TRIMESTRE'!R19+38771.59</f>
        <v>894961.49</v>
      </c>
      <c r="S19" s="195">
        <v>62151.55</v>
      </c>
      <c r="T19" s="195">
        <f>'2º TRIMESTRE'!T19+S19</f>
        <v>226035.96999999997</v>
      </c>
      <c r="U19" s="195">
        <f>'2º TRIMESTRE'!U19+S19</f>
        <v>894961.49</v>
      </c>
      <c r="V19" s="15" t="str">
        <f>'2º TRIMESTRE'!V19</f>
        <v>andamento</v>
      </c>
      <c r="W19" s="41"/>
      <c r="X19" s="41"/>
      <c r="Y19" s="41"/>
      <c r="Z19" s="38"/>
    </row>
    <row r="20" spans="1:26" ht="31.5">
      <c r="A20" s="14" t="str">
        <f>'2º TRIMESTRE'!A20</f>
        <v>CONCORRÊNCIA / nº 19/2019</v>
      </c>
      <c r="B20" s="14" t="str">
        <f>'2º TRIMESTRE'!B20</f>
        <v>SERVIÇO DE MANUTENÇÃO DO SISTEMA DE MICRODRENAGEM DE AGUAS PLUVIAIS EM TODAS AS RPAS DA CIDADE DO RECIFE - 04 E 05</v>
      </c>
      <c r="C20" s="14">
        <f>'2º TRIMESTRE'!C20</f>
        <v>0</v>
      </c>
      <c r="D20" s="14">
        <f>'2º TRIMESTRE'!D20</f>
        <v>0</v>
      </c>
      <c r="E20" s="16">
        <f>'2º TRIMESTRE'!E20</f>
        <v>0</v>
      </c>
      <c r="F20" s="16">
        <f>'2º TRIMESTRE'!F20</f>
        <v>0</v>
      </c>
      <c r="G20" s="14" t="str">
        <f>'2º TRIMESTRE'!G20</f>
        <v>01.514.128/0001-36</v>
      </c>
      <c r="H20" s="14" t="str">
        <f>'2º TRIMESTRE'!H20</f>
        <v>SCAVE SERVICOS DE ENGENHARIA E LOCACAO LTDA</v>
      </c>
      <c r="I20" s="14" t="str">
        <f>'2º TRIMESTRE'!I20</f>
        <v>6-015/20</v>
      </c>
      <c r="J20" s="44">
        <f>'2º TRIMESTRE'!J20</f>
        <v>43997</v>
      </c>
      <c r="K20" s="15">
        <f>'2º TRIMESTRE'!K20</f>
        <v>1125</v>
      </c>
      <c r="L20" s="16">
        <f>'2º TRIMESTRE'!L20</f>
        <v>17094320.97</v>
      </c>
      <c r="M20" s="44">
        <f>'2º TRIMESTRE'!M20</f>
        <v>45122</v>
      </c>
      <c r="N20" s="15">
        <f>'2º TRIMESTRE'!N20</f>
        <v>0</v>
      </c>
      <c r="O20" s="16">
        <f>'2º TRIMESTRE'!O20</f>
        <v>3011427.7</v>
      </c>
      <c r="P20" s="57">
        <f>'2º TRIMESTRE'!P20</f>
        <v>2353695.85</v>
      </c>
      <c r="Q20" s="15" t="str">
        <f>'2º TRIMESTRE'!Q20</f>
        <v>3.3.90.39</v>
      </c>
      <c r="R20" s="195">
        <f>'2º TRIMESTRE'!R20+1661180.31</f>
        <v>15616246.16</v>
      </c>
      <c r="S20" s="195">
        <v>1971019.59</v>
      </c>
      <c r="T20" s="195">
        <f>'2º TRIMESTRE'!T20+S20</f>
        <v>4010788.2</v>
      </c>
      <c r="U20" s="195">
        <f>'2º TRIMESTRE'!U20+S20</f>
        <v>15135281.45</v>
      </c>
      <c r="V20" s="15" t="str">
        <f>'2º TRIMESTRE'!V20</f>
        <v>andamento</v>
      </c>
      <c r="W20" s="41"/>
      <c r="X20" s="41"/>
      <c r="Y20" s="41"/>
      <c r="Z20" s="38"/>
    </row>
    <row r="21" spans="1:26" ht="21">
      <c r="A21" s="14" t="str">
        <f>'2º TRIMESTRE'!A21</f>
        <v>CONCORRÊNCIA / nº 19/2019</v>
      </c>
      <c r="B21" s="14" t="str">
        <f>'2º TRIMESTRE'!B21</f>
        <v>SERVIÇO DE MANUTENÇÃO DO SISTEMA DE MICRODRENAGEM DE AGUAS PLUVIAIS EM TODAS AS RPAS DO RECIFE - RPA 06</v>
      </c>
      <c r="C21" s="14">
        <f>'2º TRIMESTRE'!C21</f>
        <v>0</v>
      </c>
      <c r="D21" s="14">
        <f>'2º TRIMESTRE'!D21</f>
        <v>0</v>
      </c>
      <c r="E21" s="16">
        <f>'2º TRIMESTRE'!E21</f>
        <v>0</v>
      </c>
      <c r="F21" s="16">
        <f>'2º TRIMESTRE'!F21</f>
        <v>0</v>
      </c>
      <c r="G21" s="14" t="str">
        <f>'2º TRIMESTRE'!G21</f>
        <v>10.811.370/0001-62</v>
      </c>
      <c r="H21" s="14" t="str">
        <f>'2º TRIMESTRE'!H21</f>
        <v>GUERRA CONSTRUCOES LTDA</v>
      </c>
      <c r="I21" s="14" t="str">
        <f>'2º TRIMESTRE'!I21</f>
        <v>6-016/20</v>
      </c>
      <c r="J21" s="44">
        <f>'2º TRIMESTRE'!J21</f>
        <v>43997</v>
      </c>
      <c r="K21" s="15">
        <f>'2º TRIMESTRE'!K21</f>
        <v>1125</v>
      </c>
      <c r="L21" s="16">
        <f>'2º TRIMESTRE'!L21</f>
        <v>18840293.85</v>
      </c>
      <c r="M21" s="44">
        <f>'2º TRIMESTRE'!M21</f>
        <v>45122</v>
      </c>
      <c r="N21" s="15">
        <f>'2º TRIMESTRE'!N21</f>
        <v>0</v>
      </c>
      <c r="O21" s="16">
        <f>'2º TRIMESTRE'!O21</f>
        <v>4929083.800000001</v>
      </c>
      <c r="P21" s="57">
        <f>'2º TRIMESTRE'!P21</f>
        <v>5078325.03</v>
      </c>
      <c r="Q21" s="15" t="str">
        <f>'2º TRIMESTRE'!Q21</f>
        <v>3.3.90.39</v>
      </c>
      <c r="R21" s="195">
        <f>'2º TRIMESTRE'!R21+3659006.91</f>
        <v>18902880.71</v>
      </c>
      <c r="S21" s="195">
        <v>3790284.36</v>
      </c>
      <c r="T21" s="195">
        <f>'2º TRIMESTRE'!T21+S21</f>
        <v>7653943.699999999</v>
      </c>
      <c r="U21" s="195">
        <f>'2º TRIMESTRE'!U21+S21</f>
        <v>18889800.73</v>
      </c>
      <c r="V21" s="15" t="s">
        <v>188</v>
      </c>
      <c r="W21" s="41"/>
      <c r="X21" s="41"/>
      <c r="Y21" s="41"/>
      <c r="Z21" s="38"/>
    </row>
    <row r="22" spans="1:26" ht="31.5">
      <c r="A22" s="14" t="str">
        <f>'2º TRIMESTRE'!A22</f>
        <v>DISP 3/2020</v>
      </c>
      <c r="B22" s="14" t="str">
        <f>'2º TRIMESTRE'!B22</f>
        <v>MONITORAMENTO AMBIENTAL DO ATERRO CONTROLADO DA MURIBECA E SERVIÇOS DE CONSULTORIA TECNOLÓGICA PARA TRATAMENTO DE RESÍDUOS SÓLIDOS URBANOS</v>
      </c>
      <c r="C22" s="14">
        <f>'2º TRIMESTRE'!C22</f>
        <v>0</v>
      </c>
      <c r="D22" s="14">
        <f>'2º TRIMESTRE'!D22</f>
        <v>0</v>
      </c>
      <c r="E22" s="16">
        <f>'2º TRIMESTRE'!E22</f>
        <v>0</v>
      </c>
      <c r="F22" s="16">
        <f>'2º TRIMESTRE'!F22</f>
        <v>0</v>
      </c>
      <c r="G22" s="14" t="str">
        <f>'2º TRIMESTRE'!G22</f>
        <v>11.187.606/0001-02</v>
      </c>
      <c r="H22" s="14" t="str">
        <f>'2º TRIMESTRE'!H22</f>
        <v>ATEPE ASSOCIACAO TECNOLOGICA DE PERNAMBUCO                  </v>
      </c>
      <c r="I22" s="14" t="str">
        <f>'2º TRIMESTRE'!I22</f>
        <v>6-018/20</v>
      </c>
      <c r="J22" s="44">
        <f>'2º TRIMESTRE'!J22</f>
        <v>44007</v>
      </c>
      <c r="K22" s="15">
        <f>'2º TRIMESTRE'!K22</f>
        <v>365</v>
      </c>
      <c r="L22" s="16">
        <f>'2º TRIMESTRE'!L22</f>
        <v>251180</v>
      </c>
      <c r="M22" s="44">
        <f>'2º TRIMESTRE'!M22</f>
        <v>44737</v>
      </c>
      <c r="N22" s="15">
        <f>'2º TRIMESTRE'!N22+365</f>
        <v>730</v>
      </c>
      <c r="O22" s="16">
        <f>'2º TRIMESTRE'!O22+267180</f>
        <v>518360</v>
      </c>
      <c r="P22" s="57">
        <f>'2º TRIMESTRE'!P22</f>
        <v>0</v>
      </c>
      <c r="Q22" s="15" t="str">
        <f>'2º TRIMESTRE'!Q22</f>
        <v>3.3.90.39</v>
      </c>
      <c r="R22" s="195">
        <f>'2º TRIMESTRE'!R22+52050</f>
        <v>420311.1</v>
      </c>
      <c r="S22" s="195">
        <v>52050</v>
      </c>
      <c r="T22" s="195">
        <f>'2º TRIMESTRE'!T22+S22</f>
        <v>121480.1</v>
      </c>
      <c r="U22" s="195">
        <f>'2º TRIMESTRE'!U22+S22</f>
        <v>420311.1</v>
      </c>
      <c r="V22" s="15" t="str">
        <f>'2º TRIMESTRE'!V22</f>
        <v>andamento</v>
      </c>
      <c r="W22" s="41"/>
      <c r="X22" s="41"/>
      <c r="Y22" s="41"/>
      <c r="Z22" s="38"/>
    </row>
    <row r="23" spans="1:26" ht="31.5">
      <c r="A23" s="14" t="str">
        <f>'2º TRIMESTRE'!A23</f>
        <v>CONCORRÊNCIA Licitação: 1/2020</v>
      </c>
      <c r="B23" s="14" t="str">
        <f>'2º TRIMESTRE'!B23</f>
        <v>SERVIÇOS DE MANUTENÇÃO CORRETIVA DE VIAS NÃO PAVIMENTADAS DO SISTEMA VIÁRIO DA CIDADE DO RECIFE, COMPOSTOS BASICAMENTE POR SERVIÇOS DE TERRAPLENAGEM.</v>
      </c>
      <c r="C23" s="14">
        <f>'2º TRIMESTRE'!C23</f>
        <v>0</v>
      </c>
      <c r="D23" s="14">
        <f>'2º TRIMESTRE'!D23</f>
        <v>0</v>
      </c>
      <c r="E23" s="16">
        <f>'2º TRIMESTRE'!E23</f>
        <v>0</v>
      </c>
      <c r="F23" s="16">
        <f>'2º TRIMESTRE'!F23</f>
        <v>0</v>
      </c>
      <c r="G23" s="14" t="str">
        <f>'2º TRIMESTRE'!G23</f>
        <v>40.884.405/0001-54</v>
      </c>
      <c r="H23" s="14" t="str">
        <f>'2º TRIMESTRE'!H23</f>
        <v>LOQUIPE LOCACAO DE EQUIPAMENTOS E MAO DE OBRA LTDA</v>
      </c>
      <c r="I23" s="14" t="str">
        <f>'2º TRIMESTRE'!I23</f>
        <v>6-024/20</v>
      </c>
      <c r="J23" s="44">
        <f>'2º TRIMESTRE'!J23</f>
        <v>44084</v>
      </c>
      <c r="K23" s="15">
        <f>'2º TRIMESTRE'!K23</f>
        <v>760</v>
      </c>
      <c r="L23" s="16">
        <f>'2º TRIMESTRE'!L23</f>
        <v>2567335.44</v>
      </c>
      <c r="M23" s="44">
        <f>'2º TRIMESTRE'!M23</f>
        <v>44844</v>
      </c>
      <c r="N23" s="15">
        <f>'2º TRIMESTRE'!N23+60</f>
        <v>60</v>
      </c>
      <c r="O23" s="16">
        <f>'2º TRIMESTRE'!O23</f>
        <v>325492</v>
      </c>
      <c r="P23" s="57">
        <f>'2º TRIMESTRE'!P23</f>
        <v>0</v>
      </c>
      <c r="Q23" s="15" t="str">
        <f>'2º TRIMESTRE'!Q23</f>
        <v>3.3.90.39</v>
      </c>
      <c r="R23" s="195">
        <f>'2º TRIMESTRE'!R23+157483.42</f>
        <v>2044187.88</v>
      </c>
      <c r="S23" s="195">
        <v>237503.32</v>
      </c>
      <c r="T23" s="195">
        <f>'2º TRIMESTRE'!T23+S23</f>
        <v>568477.4099999999</v>
      </c>
      <c r="U23" s="195">
        <f>'2º TRIMESTRE'!U23+S23</f>
        <v>2044187.8800000001</v>
      </c>
      <c r="V23" s="15" t="str">
        <f>'2º TRIMESTRE'!V23</f>
        <v>andamento</v>
      </c>
      <c r="W23" s="41"/>
      <c r="X23" s="41"/>
      <c r="Y23" s="41"/>
      <c r="Z23" s="38"/>
    </row>
    <row r="24" spans="1:26" ht="21">
      <c r="A24" s="14" t="str">
        <f>'2º TRIMESTRE'!A24</f>
        <v>CONCORRÊNCIA Licitação: 3/2020</v>
      </c>
      <c r="B24" s="14" t="str">
        <f>'2º TRIMESTRE'!B24</f>
        <v>SERVIÇOS DE IMPLANTAÇÃO/REQUALIFICAÇÃO DA REDE DE DRENAGEM E PAVIMENTAÇÃO DAS RUAS DAVID NASSER E SENADOR THOMAZ LOBO</v>
      </c>
      <c r="C24" s="14" t="str">
        <f>'2º TRIMESTRE'!C24</f>
        <v>535346/2020</v>
      </c>
      <c r="D24" s="14" t="str">
        <f>'2º TRIMESTRE'!D24</f>
        <v>FINISA</v>
      </c>
      <c r="E24" s="16">
        <f>'2º TRIMESTRE'!E24</f>
        <v>94508747.5</v>
      </c>
      <c r="F24" s="16">
        <f>'2º TRIMESTRE'!F24</f>
        <v>0</v>
      </c>
      <c r="G24" s="14" t="str">
        <f>'2º TRIMESTRE'!G24</f>
        <v>07.157.925/0001-90</v>
      </c>
      <c r="H24" s="14" t="str">
        <f>'2º TRIMESTRE'!H24</f>
        <v>WB CONSTRUTORA LTDA</v>
      </c>
      <c r="I24" s="14" t="str">
        <f>'2º TRIMESTRE'!I24</f>
        <v>6-027/20</v>
      </c>
      <c r="J24" s="44">
        <f>'2º TRIMESTRE'!J24</f>
        <v>44089</v>
      </c>
      <c r="K24" s="15">
        <f>'2º TRIMESTRE'!K24</f>
        <v>210</v>
      </c>
      <c r="L24" s="16">
        <f>'2º TRIMESTRE'!L24</f>
        <v>3335155.86</v>
      </c>
      <c r="M24" s="44">
        <f>'2º TRIMESTRE'!M24</f>
        <v>44584</v>
      </c>
      <c r="N24" s="15">
        <f>'2º TRIMESTRE'!N24</f>
        <v>285</v>
      </c>
      <c r="O24" s="16">
        <f>'2º TRIMESTRE'!O24</f>
        <v>767945.97</v>
      </c>
      <c r="P24" s="57">
        <f>'2º TRIMESTRE'!P24</f>
        <v>0</v>
      </c>
      <c r="Q24" s="15" t="str">
        <f>'2º TRIMESTRE'!Q24</f>
        <v>4.4.90.39</v>
      </c>
      <c r="R24" s="195">
        <f>'2º TRIMESTRE'!R24</f>
        <v>3486185.38</v>
      </c>
      <c r="S24" s="195">
        <v>0</v>
      </c>
      <c r="T24" s="195">
        <f>'2º TRIMESTRE'!T24+S24</f>
        <v>538484.02</v>
      </c>
      <c r="U24" s="195">
        <f>'2º TRIMESTRE'!U24+S24</f>
        <v>3486185.3800000004</v>
      </c>
      <c r="V24" s="15" t="str">
        <f>'2º TRIMESTRE'!V24</f>
        <v>encerrado</v>
      </c>
      <c r="W24" s="41"/>
      <c r="X24" s="41"/>
      <c r="Y24" s="41"/>
      <c r="Z24" s="38"/>
    </row>
    <row r="25" spans="1:26" ht="21">
      <c r="A25" s="14" t="str">
        <f>'2º TRIMESTRE'!A25</f>
        <v>CONCORRÊNCIA Licitação: 2/2020</v>
      </c>
      <c r="B25" s="14" t="str">
        <f>'2º TRIMESTRE'!B25</f>
        <v>CONTRATAÇÃO DOS SERVIÇOS DE MANUTENÇÃO CORRETIVA DO SISTEMA VIÁRIO DO RECIFE RPA 01</v>
      </c>
      <c r="C25" s="14">
        <f>'2º TRIMESTRE'!C25</f>
        <v>0</v>
      </c>
      <c r="D25" s="14">
        <f>'2º TRIMESTRE'!D25</f>
        <v>0</v>
      </c>
      <c r="E25" s="16">
        <f>'2º TRIMESTRE'!E25</f>
        <v>0</v>
      </c>
      <c r="F25" s="16">
        <f>'2º TRIMESTRE'!F25</f>
        <v>0</v>
      </c>
      <c r="G25" s="14" t="str">
        <f>'2º TRIMESTRE'!G25</f>
        <v>23.742.620/0001-00</v>
      </c>
      <c r="H25" s="14" t="str">
        <f>'2º TRIMESTRE'!H25</f>
        <v>INSTTALE ENGENHARIA LTDA</v>
      </c>
      <c r="I25" s="14" t="str">
        <f>'2º TRIMESTRE'!I25</f>
        <v>6-029/20</v>
      </c>
      <c r="J25" s="44">
        <f>'2º TRIMESTRE'!J25</f>
        <v>44105</v>
      </c>
      <c r="K25" s="15">
        <f>'2º TRIMESTRE'!K25</f>
        <v>760</v>
      </c>
      <c r="L25" s="16">
        <f>'2º TRIMESTRE'!L25</f>
        <v>6329253.03</v>
      </c>
      <c r="M25" s="44">
        <f>'2º TRIMESTRE'!M25</f>
        <v>44865</v>
      </c>
      <c r="N25" s="15">
        <f>'2º TRIMESTRE'!N25+62</f>
        <v>62</v>
      </c>
      <c r="O25" s="16">
        <f>'2º TRIMESTRE'!O25+746621.51</f>
        <v>969313.04</v>
      </c>
      <c r="P25" s="57">
        <f>'2º TRIMESTRE'!P25</f>
        <v>707143.97</v>
      </c>
      <c r="Q25" s="15" t="str">
        <f>'2º TRIMESTRE'!Q25</f>
        <v>3.3.90.39</v>
      </c>
      <c r="R25" s="195">
        <f>'2º TRIMESTRE'!R25+739642.96</f>
        <v>4183182.42</v>
      </c>
      <c r="S25" s="195">
        <v>658386.82</v>
      </c>
      <c r="T25" s="195">
        <f>'2º TRIMESTRE'!T25+S25</f>
        <v>1402829.3599999999</v>
      </c>
      <c r="U25" s="195">
        <f>'2º TRIMESTRE'!U25+S25</f>
        <v>4074961.18</v>
      </c>
      <c r="V25" s="15" t="str">
        <f>'2º TRIMESTRE'!V25</f>
        <v>andamento</v>
      </c>
      <c r="W25" s="41"/>
      <c r="X25" s="41"/>
      <c r="Y25" s="41"/>
      <c r="Z25" s="38"/>
    </row>
    <row r="26" spans="1:26" ht="31.5">
      <c r="A26" s="14" t="str">
        <f>'2º TRIMESTRE'!A26</f>
        <v>CONCORRÊNCIA Licitação: 2/2020</v>
      </c>
      <c r="B26" s="14" t="str">
        <f>'2º TRIMESTRE'!B26</f>
        <v>CONTRATAÇÃO DOS SERVIÇOS DE MANUTENÇÃO CORRETIVA DO SISTEMA VIÁRIO DO RECIFE RPA 02 E 03</v>
      </c>
      <c r="C26" s="14">
        <f>'2º TRIMESTRE'!C26</f>
        <v>0</v>
      </c>
      <c r="D26" s="14">
        <f>'2º TRIMESTRE'!D26</f>
        <v>0</v>
      </c>
      <c r="E26" s="16">
        <f>'2º TRIMESTRE'!E26</f>
        <v>0</v>
      </c>
      <c r="F26" s="16">
        <f>'2º TRIMESTRE'!F26</f>
        <v>0</v>
      </c>
      <c r="G26" s="14" t="str">
        <f>'2º TRIMESTRE'!G26</f>
        <v>00.999.591/0001-52</v>
      </c>
      <c r="H26" s="14" t="str">
        <f>'2º TRIMESTRE'!H26</f>
        <v>AGC CONSTRUTORA E EMPREENDIMENTOS LTDA                      </v>
      </c>
      <c r="I26" s="14" t="str">
        <f>'2º TRIMESTRE'!I26</f>
        <v>6-030/20</v>
      </c>
      <c r="J26" s="44">
        <f>'2º TRIMESTRE'!J26</f>
        <v>44130</v>
      </c>
      <c r="K26" s="15">
        <f>'2º TRIMESTRE'!K26</f>
        <v>760</v>
      </c>
      <c r="L26" s="16">
        <f>'2º TRIMESTRE'!L26</f>
        <v>9905518.18</v>
      </c>
      <c r="M26" s="44">
        <f>'2º TRIMESTRE'!M26</f>
        <v>44890</v>
      </c>
      <c r="N26" s="15">
        <f>'2º TRIMESTRE'!N26</f>
        <v>0</v>
      </c>
      <c r="O26" s="16">
        <f>'2º TRIMESTRE'!O26+188201.5</f>
        <v>288906.17</v>
      </c>
      <c r="P26" s="16">
        <f>'2º TRIMESTRE'!P26+3493118.77</f>
        <v>4628303.57</v>
      </c>
      <c r="Q26" s="15" t="str">
        <f>'2º TRIMESTRE'!Q26</f>
        <v>3.3.90.39</v>
      </c>
      <c r="R26" s="195">
        <f>'2º TRIMESTRE'!R26+1402214.55</f>
        <v>7989786.779999999</v>
      </c>
      <c r="S26" s="195">
        <v>1138978.67</v>
      </c>
      <c r="T26" s="195">
        <f>'2º TRIMESTRE'!T26+S26</f>
        <v>2458221.88</v>
      </c>
      <c r="U26" s="195">
        <f>'2º TRIMESTRE'!U26+S26</f>
        <v>7726550.9</v>
      </c>
      <c r="V26" s="15" t="str">
        <f>'2º TRIMESTRE'!V26</f>
        <v>andamento</v>
      </c>
      <c r="W26" s="41"/>
      <c r="X26" s="41"/>
      <c r="Y26" s="41"/>
      <c r="Z26" s="38"/>
    </row>
    <row r="27" spans="1:26" ht="21">
      <c r="A27" s="14" t="str">
        <f>'2º TRIMESTRE'!A27</f>
        <v>CONCORRÊNCIA Licitação: 2/2020</v>
      </c>
      <c r="B27" s="14" t="str">
        <f>'2º TRIMESTRE'!B27</f>
        <v>CONTRATAÇÃO DOS SERVIÇOS DE MANUTENÇÃO CORRETIVA DO SISTEMA VIÁRIO DO RECIFE RPA 04 E 05</v>
      </c>
      <c r="C27" s="14">
        <f>'2º TRIMESTRE'!C27</f>
        <v>0</v>
      </c>
      <c r="D27" s="14">
        <f>'2º TRIMESTRE'!D27</f>
        <v>0</v>
      </c>
      <c r="E27" s="16">
        <f>'2º TRIMESTRE'!E27</f>
        <v>0</v>
      </c>
      <c r="F27" s="16">
        <f>'2º TRIMESTRE'!F27</f>
        <v>0</v>
      </c>
      <c r="G27" s="14" t="str">
        <f>'2º TRIMESTRE'!G27</f>
        <v>23.742.620/0001-00</v>
      </c>
      <c r="H27" s="14" t="str">
        <f>'2º TRIMESTRE'!H27</f>
        <v>INSTTALE ENGENHARIA LTDA</v>
      </c>
      <c r="I27" s="14" t="str">
        <f>'2º TRIMESTRE'!I27</f>
        <v>6-031/20</v>
      </c>
      <c r="J27" s="44">
        <f>'2º TRIMESTRE'!J27</f>
        <v>44130</v>
      </c>
      <c r="K27" s="15">
        <f>'2º TRIMESTRE'!K27</f>
        <v>760</v>
      </c>
      <c r="L27" s="16">
        <f>'2º TRIMESTRE'!L27</f>
        <v>12232966.38</v>
      </c>
      <c r="M27" s="44">
        <f>'2º TRIMESTRE'!M27</f>
        <v>44890</v>
      </c>
      <c r="N27" s="15">
        <f>'2º TRIMESTRE'!N27</f>
        <v>0</v>
      </c>
      <c r="O27" s="16">
        <f>'2º TRIMESTRE'!O27+2604572.3</f>
        <v>2820084.5799999996</v>
      </c>
      <c r="P27" s="57">
        <f>'2º TRIMESTRE'!P27</f>
        <v>1362845.01</v>
      </c>
      <c r="Q27" s="15" t="str">
        <f>'2º TRIMESTRE'!Q27</f>
        <v>3.3.90.39</v>
      </c>
      <c r="R27" s="195">
        <f>'2º TRIMESTRE'!R27+2351380.15</f>
        <v>11036196.860000001</v>
      </c>
      <c r="S27" s="195">
        <v>2021778.93</v>
      </c>
      <c r="T27" s="195">
        <f>'2º TRIMESTRE'!T27+S27</f>
        <v>3270760.83</v>
      </c>
      <c r="U27" s="195">
        <f>'2º TRIMESTRE'!U27+S27</f>
        <v>10702424.99</v>
      </c>
      <c r="V27" s="15" t="str">
        <f>'2º TRIMESTRE'!V27</f>
        <v>andamento</v>
      </c>
      <c r="W27" s="41"/>
      <c r="X27" s="41"/>
      <c r="Y27" s="41"/>
      <c r="Z27" s="38"/>
    </row>
    <row r="28" spans="1:26" ht="31.5">
      <c r="A28" s="14" t="str">
        <f>'2º TRIMESTRE'!A28</f>
        <v>CONCORRÊNCIA Licitação: 2/2020</v>
      </c>
      <c r="B28" s="14" t="str">
        <f>'2º TRIMESTRE'!B28</f>
        <v>CONTRATAÇÃO DOS SERVIÇOS DE MANUTENÇÃO CORRETIVA DO SISTEMA VIÁRIO DO RECIFE RPA 06</v>
      </c>
      <c r="C28" s="14">
        <f>'2º TRIMESTRE'!C28</f>
        <v>0</v>
      </c>
      <c r="D28" s="14">
        <f>'2º TRIMESTRE'!D28</f>
        <v>0</v>
      </c>
      <c r="E28" s="16">
        <f>'2º TRIMESTRE'!E28</f>
        <v>0</v>
      </c>
      <c r="F28" s="16">
        <f>'2º TRIMESTRE'!F28</f>
        <v>0</v>
      </c>
      <c r="G28" s="14" t="str">
        <f>'2º TRIMESTRE'!G28</f>
        <v>40.882.060/0001-08</v>
      </c>
      <c r="H28" s="14" t="str">
        <f>'2º TRIMESTRE'!H28</f>
        <v>LIDERMAC CONSTRUCOES E EQUIPAMENTOS LTDA</v>
      </c>
      <c r="I28" s="14" t="str">
        <f>'2º TRIMESTRE'!I28</f>
        <v>6-032/20</v>
      </c>
      <c r="J28" s="44">
        <f>'2º TRIMESTRE'!J28</f>
        <v>44130</v>
      </c>
      <c r="K28" s="15">
        <f>'2º TRIMESTRE'!K28</f>
        <v>760</v>
      </c>
      <c r="L28" s="16">
        <f>'2º TRIMESTRE'!L28</f>
        <v>10773413.11</v>
      </c>
      <c r="M28" s="44">
        <f>'2º TRIMESTRE'!M28</f>
        <v>44890</v>
      </c>
      <c r="N28" s="15">
        <f>'2º TRIMESTRE'!N28</f>
        <v>0</v>
      </c>
      <c r="O28" s="16">
        <f>'2º TRIMESTRE'!O28</f>
        <v>0</v>
      </c>
      <c r="P28" s="57">
        <f>'2º TRIMESTRE'!P28</f>
        <v>3401715.99</v>
      </c>
      <c r="Q28" s="15" t="str">
        <f>'2º TRIMESTRE'!Q28</f>
        <v>3.3.90.39</v>
      </c>
      <c r="R28" s="195">
        <f>'2º TRIMESTRE'!R28+1276557.47</f>
        <v>6420862.449999999</v>
      </c>
      <c r="S28" s="195">
        <v>1276557.47</v>
      </c>
      <c r="T28" s="195">
        <f>'2º TRIMESTRE'!T28+S28</f>
        <v>1913375.49</v>
      </c>
      <c r="U28" s="195">
        <f>'2º TRIMESTRE'!U28+S28</f>
        <v>6420862.449999999</v>
      </c>
      <c r="V28" s="15" t="str">
        <f>'2º TRIMESTRE'!V28</f>
        <v>andamento</v>
      </c>
      <c r="W28" s="41"/>
      <c r="X28" s="41"/>
      <c r="Y28" s="41"/>
      <c r="Z28" s="38"/>
    </row>
    <row r="29" spans="1:26" ht="42.75">
      <c r="A29" s="14" t="str">
        <f>'2º TRIMESTRE'!A29</f>
        <v>TOMADA DE PREÇOS / 005/2020</v>
      </c>
      <c r="B29" s="14" t="str">
        <f>'2º TRIMESTRE'!B29</f>
        <v>CONTRATACAO DE DE EMPRESA DE ENGENHARIA PARA EXECUCAO DE SERVICOS DE MANUTENCAO DE FONTES. COM BOMBAS CENTRIFUGAS DE 5 A 25 CV. ILUMINACAO ESPECIAL E OPERACAO AUTOMATIZADA POR QUADRO DE COMANDO INTERRUPTO HORARIO</v>
      </c>
      <c r="C29" s="14">
        <f>'2º TRIMESTRE'!C29</f>
        <v>0</v>
      </c>
      <c r="D29" s="14">
        <f>'2º TRIMESTRE'!D29</f>
        <v>0</v>
      </c>
      <c r="E29" s="16">
        <f>'2º TRIMESTRE'!E29</f>
        <v>0</v>
      </c>
      <c r="F29" s="16">
        <f>'2º TRIMESTRE'!F29</f>
        <v>0</v>
      </c>
      <c r="G29" s="14" t="str">
        <f>'2º TRIMESTRE'!G29</f>
        <v>06.157.352/0001-31</v>
      </c>
      <c r="H29" s="14" t="str">
        <f>'2º TRIMESTRE'!H29</f>
        <v>ROBERTO &amp; JAIR COMÉRCIO E SERVIÇOS LTDA-ME</v>
      </c>
      <c r="I29" s="14" t="str">
        <f>'2º TRIMESTRE'!I29</f>
        <v>6-043/20</v>
      </c>
      <c r="J29" s="44">
        <f>'2º TRIMESTRE'!J29</f>
        <v>44138</v>
      </c>
      <c r="K29" s="15">
        <f>'2º TRIMESTRE'!K29</f>
        <v>760</v>
      </c>
      <c r="L29" s="16">
        <f>'2º TRIMESTRE'!L29</f>
        <v>536156.1</v>
      </c>
      <c r="M29" s="44">
        <f>'2º TRIMESTRE'!M29</f>
        <v>44898</v>
      </c>
      <c r="N29" s="15">
        <f>'2º TRIMESTRE'!N29</f>
        <v>0</v>
      </c>
      <c r="O29" s="16">
        <f>'2º TRIMESTRE'!O29</f>
        <v>132751.34</v>
      </c>
      <c r="P29" s="57">
        <f>'2º TRIMESTRE'!P29</f>
        <v>0</v>
      </c>
      <c r="Q29" s="15" t="str">
        <f>'2º TRIMESTRE'!Q29</f>
        <v>3.3.90.39</v>
      </c>
      <c r="R29" s="195">
        <f>'2º TRIMESTRE'!R29+76163.78</f>
        <v>578881.76</v>
      </c>
      <c r="S29" s="195">
        <v>76163.78</v>
      </c>
      <c r="T29" s="195">
        <f>'2º TRIMESTRE'!T29+S29</f>
        <v>212971.41999999998</v>
      </c>
      <c r="U29" s="195">
        <f>'2º TRIMESTRE'!U29+S29</f>
        <v>578881.76</v>
      </c>
      <c r="V29" s="15" t="str">
        <f>'2º TRIMESTRE'!V29</f>
        <v>andamento</v>
      </c>
      <c r="W29" s="41"/>
      <c r="X29" s="41"/>
      <c r="Y29" s="41"/>
      <c r="Z29" s="38"/>
    </row>
    <row r="30" spans="1:26" ht="53.25">
      <c r="A30" s="14" t="str">
        <f>'2º TRIMESTRE'!A30</f>
        <v>CONCORRÊNCIA / nº 006/2020</v>
      </c>
      <c r="B30" s="14" t="str">
        <f>'2º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14">
        <f>'2º TRIMESTRE'!C30</f>
        <v>0</v>
      </c>
      <c r="D30" s="14">
        <f>'2º TRIMESTRE'!D30</f>
        <v>0</v>
      </c>
      <c r="E30" s="16">
        <f>'2º TRIMESTRE'!E30</f>
        <v>0</v>
      </c>
      <c r="F30" s="16">
        <f>'2º TRIMESTRE'!F30</f>
        <v>0</v>
      </c>
      <c r="G30" s="14" t="str">
        <f>'2º TRIMESTRE'!G30</f>
        <v>01.346.561/0001-00</v>
      </c>
      <c r="H30" s="14" t="str">
        <f>'2º TRIMESTRE'!H30</f>
        <v>VASCONCELOS E SANTOS LTDA</v>
      </c>
      <c r="I30" s="14" t="str">
        <f>'2º TRIMESTRE'!I30</f>
        <v>6-044/20</v>
      </c>
      <c r="J30" s="44">
        <f>'2º TRIMESTRE'!J30</f>
        <v>44162</v>
      </c>
      <c r="K30" s="15">
        <f>'2º TRIMESTRE'!K30</f>
        <v>790</v>
      </c>
      <c r="L30" s="16">
        <f>'2º TRIMESTRE'!L30</f>
        <v>1704583.5</v>
      </c>
      <c r="M30" s="44">
        <f>'2º TRIMESTRE'!M30</f>
        <v>44952</v>
      </c>
      <c r="N30" s="15">
        <f>'2º TRIMESTRE'!N30</f>
        <v>0</v>
      </c>
      <c r="O30" s="16">
        <f>'2º TRIMESTRE'!O30</f>
        <v>302588</v>
      </c>
      <c r="P30" s="57">
        <f>'2º TRIMESTRE'!P30</f>
        <v>0</v>
      </c>
      <c r="Q30" s="15" t="str">
        <f>'2º TRIMESTRE'!Q30</f>
        <v>3.3.90.39</v>
      </c>
      <c r="R30" s="195">
        <f>'2º TRIMESTRE'!R30+240716.64</f>
        <v>1320294.8399999999</v>
      </c>
      <c r="S30" s="195">
        <v>240716.64</v>
      </c>
      <c r="T30" s="195">
        <f>'2º TRIMESTRE'!T30+S30</f>
        <v>622742.3</v>
      </c>
      <c r="U30" s="195">
        <f>'2º TRIMESTRE'!U30+S30</f>
        <v>1320294.8399999999</v>
      </c>
      <c r="V30" s="15" t="str">
        <f>'2º TRIMESTRE'!V30</f>
        <v>andamento</v>
      </c>
      <c r="W30" s="41"/>
      <c r="X30" s="41"/>
      <c r="Y30" s="41"/>
      <c r="Z30" s="38"/>
    </row>
    <row r="31" spans="1:26" ht="31.5">
      <c r="A31" s="14" t="str">
        <f>'2º TRIMESTRE'!A31</f>
        <v>CONCORRÊNCIA Licitação: 19/2019</v>
      </c>
      <c r="B31" s="14" t="str">
        <f>'2º TRIMESTRE'!B31</f>
        <v>SERVIÇOS DE MANUTENÇÃO DO SISTEMA DE MICRODRENAGEM DAS AGUAS PLUVIAIS DO MUNICIPIO DO RECIFE RPA 1</v>
      </c>
      <c r="C31" s="14">
        <f>'2º TRIMESTRE'!C31</f>
        <v>0</v>
      </c>
      <c r="D31" s="14">
        <f>'2º TRIMESTRE'!D31</f>
        <v>0</v>
      </c>
      <c r="E31" s="16">
        <f>'2º TRIMESTRE'!E31</f>
        <v>0</v>
      </c>
      <c r="F31" s="16">
        <f>'2º TRIMESTRE'!F31</f>
        <v>0</v>
      </c>
      <c r="G31" s="14" t="str">
        <f>'2º TRIMESTRE'!G31</f>
        <v>07.086.088/0001-55</v>
      </c>
      <c r="H31" s="14" t="str">
        <f>'2º TRIMESTRE'!H31</f>
        <v>SOLO CONSTRUCOES E TERRAPLANAGEM LTDA</v>
      </c>
      <c r="I31" s="14" t="str">
        <f>'2º TRIMESTRE'!I31</f>
        <v>6-048/20</v>
      </c>
      <c r="J31" s="44">
        <f>'2º TRIMESTRE'!J31</f>
        <v>44168</v>
      </c>
      <c r="K31" s="15">
        <f>'2º TRIMESTRE'!K31</f>
        <v>1125</v>
      </c>
      <c r="L31" s="16">
        <f>'2º TRIMESTRE'!L31</f>
        <v>16571981.61</v>
      </c>
      <c r="M31" s="44">
        <f>'2º TRIMESTRE'!M31</f>
        <v>45293</v>
      </c>
      <c r="N31" s="15">
        <f>'2º TRIMESTRE'!N31</f>
        <v>0</v>
      </c>
      <c r="O31" s="16">
        <f>'2º TRIMESTRE'!O31+2510931.7</f>
        <v>4067901.64</v>
      </c>
      <c r="P31" s="57">
        <f>'2º TRIMESTRE'!P31</f>
        <v>3759599.49</v>
      </c>
      <c r="Q31" s="15" t="str">
        <f>'2º TRIMESTRE'!Q31</f>
        <v>3.3.90.39</v>
      </c>
      <c r="R31" s="195">
        <f>'2º TRIMESTRE'!R31+1726416.77</f>
        <v>10705274.09</v>
      </c>
      <c r="S31" s="195">
        <v>1912917.21</v>
      </c>
      <c r="T31" s="195">
        <f>'2º TRIMESTRE'!T31+S31</f>
        <v>5163654.77</v>
      </c>
      <c r="U31" s="195">
        <f>'2º TRIMESTRE'!U31+S31</f>
        <v>10585652.89</v>
      </c>
      <c r="V31" s="15" t="str">
        <f>'2º TRIMESTRE'!V31</f>
        <v>andamento</v>
      </c>
      <c r="W31" s="41"/>
      <c r="X31" s="41"/>
      <c r="Y31" s="41"/>
      <c r="Z31" s="38"/>
    </row>
    <row r="32" spans="1:26" ht="31.5">
      <c r="A32" s="14" t="str">
        <f>'2º TRIMESTRE'!A32</f>
        <v>Convite  Licitação:  001/2021</v>
      </c>
      <c r="B32" s="14" t="str">
        <f>'2º TRIMESTRE'!B32</f>
        <v>CONTRATAÇÃO DE SERVIÇOS DE RECUPERAÇÃO DE ESTRUTURA EM MADEIRA DO SEGUNDO JARDIM EM BOA VIAGEM</v>
      </c>
      <c r="C32" s="14">
        <f>'2º TRIMESTRE'!C32</f>
        <v>0</v>
      </c>
      <c r="D32" s="14">
        <f>'2º TRIMESTRE'!D32</f>
        <v>0</v>
      </c>
      <c r="E32" s="16">
        <f>'2º TRIMESTRE'!E32</f>
        <v>0</v>
      </c>
      <c r="F32" s="16">
        <f>'2º TRIMESTRE'!F32</f>
        <v>0</v>
      </c>
      <c r="G32" s="14" t="str">
        <f>'2º TRIMESTRE'!G32</f>
        <v>06.157.352/0001-31</v>
      </c>
      <c r="H32" s="14" t="str">
        <f>'2º TRIMESTRE'!H32</f>
        <v>ROBERTO &amp; JAIR COMÉRCIO E SERVIÇOS LTDA-ME</v>
      </c>
      <c r="I32" s="14" t="str">
        <f>'2º TRIMESTRE'!I32</f>
        <v>1-002/21</v>
      </c>
      <c r="J32" s="44">
        <f>'2º TRIMESTRE'!J32</f>
        <v>44491</v>
      </c>
      <c r="K32" s="15">
        <f>'2º TRIMESTRE'!K32</f>
        <v>90</v>
      </c>
      <c r="L32" s="16">
        <f>'2º TRIMESTRE'!L32</f>
        <v>91995.11</v>
      </c>
      <c r="M32" s="44">
        <f>'2º TRIMESTRE'!M32</f>
        <v>44581</v>
      </c>
      <c r="N32" s="15">
        <f>'2º TRIMESTRE'!N32</f>
        <v>0</v>
      </c>
      <c r="O32" s="16">
        <f>'2º TRIMESTRE'!O32</f>
        <v>0</v>
      </c>
      <c r="P32" s="57">
        <f>'2º TRIMESTRE'!P32</f>
        <v>0</v>
      </c>
      <c r="Q32" s="15" t="str">
        <f>'2º TRIMESTRE'!Q32</f>
        <v>3.3.90.39</v>
      </c>
      <c r="R32" s="195">
        <f>'2º TRIMESTRE'!R32</f>
        <v>91995.11</v>
      </c>
      <c r="S32" s="195">
        <v>0</v>
      </c>
      <c r="T32" s="195">
        <f>'2º TRIMESTRE'!T32+S32</f>
        <v>0</v>
      </c>
      <c r="U32" s="195">
        <f>'2º TRIMESTRE'!U32+S32</f>
        <v>91995.11</v>
      </c>
      <c r="V32" s="15" t="str">
        <f>'2º TRIMESTRE'!V32</f>
        <v>encerrado</v>
      </c>
      <c r="W32" s="41"/>
      <c r="X32" s="41"/>
      <c r="Y32" s="41"/>
      <c r="Z32" s="38"/>
    </row>
    <row r="33" spans="1:26" ht="31.5">
      <c r="A33" s="14" t="str">
        <f>'2º TRIMESTRE'!A33</f>
        <v>CONCORRÊNCIA / nº 12/2020</v>
      </c>
      <c r="B33" s="14" t="str">
        <f>'2º TRIMESTRE'!B33</f>
        <v>CONTRATACAO DOS SERVICOS DE LIMPEZA E MANUTENCAO DO SISTEMA DE MICRODRENAGEM DE AGUAS PLUVIAIS DO MUNICIPIO DO RECIFE RPA 02 E 03</v>
      </c>
      <c r="C33" s="14">
        <f>'2º TRIMESTRE'!C33</f>
        <v>0</v>
      </c>
      <c r="D33" s="14">
        <f>'2º TRIMESTRE'!D33</f>
        <v>0</v>
      </c>
      <c r="E33" s="16">
        <f>'2º TRIMESTRE'!E33</f>
        <v>0</v>
      </c>
      <c r="F33" s="16">
        <f>'2º TRIMESTRE'!F33</f>
        <v>0</v>
      </c>
      <c r="G33" s="14" t="str">
        <f>'2º TRIMESTRE'!G33</f>
        <v>07.693.988/0001-60</v>
      </c>
      <c r="H33" s="14" t="str">
        <f>'2º TRIMESTRE'!H33</f>
        <v>F R F ENGENHARIA LTDA</v>
      </c>
      <c r="I33" s="14" t="str">
        <f>'2º TRIMESTRE'!I33</f>
        <v>6-002/21</v>
      </c>
      <c r="J33" s="44">
        <f>'2º TRIMESTRE'!J33</f>
        <v>44204</v>
      </c>
      <c r="K33" s="15">
        <f>'2º TRIMESTRE'!K33</f>
        <v>1125</v>
      </c>
      <c r="L33" s="16">
        <f>'2º TRIMESTRE'!L33</f>
        <v>17543900.19</v>
      </c>
      <c r="M33" s="44">
        <f>'2º TRIMESTRE'!M33</f>
        <v>45329</v>
      </c>
      <c r="N33" s="15">
        <f>'2º TRIMESTRE'!N33</f>
        <v>0</v>
      </c>
      <c r="O33" s="16">
        <f>'2º TRIMESTRE'!O33+1373265.74</f>
        <v>3107744.16</v>
      </c>
      <c r="P33" s="57">
        <f>'2º TRIMESTRE'!P33</f>
        <v>0</v>
      </c>
      <c r="Q33" s="15" t="str">
        <f>'2º TRIMESTRE'!Q33</f>
        <v>3.3.90.39</v>
      </c>
      <c r="R33" s="195">
        <f>'2º TRIMESTRE'!R33+1585410.55</f>
        <v>9303883.3</v>
      </c>
      <c r="S33" s="195">
        <v>1259232.43</v>
      </c>
      <c r="T33" s="195">
        <f>'2º TRIMESTRE'!T33+S33</f>
        <v>4104538.2199999997</v>
      </c>
      <c r="U33" s="195">
        <f>'2º TRIMESTRE'!U33+S33</f>
        <v>8838311.139999999</v>
      </c>
      <c r="V33" s="15" t="str">
        <f>'2º TRIMESTRE'!V33</f>
        <v>andamento</v>
      </c>
      <c r="W33" s="41"/>
      <c r="X33" s="41"/>
      <c r="Y33" s="41"/>
      <c r="Z33" s="38"/>
    </row>
    <row r="34" spans="1:26" ht="31.5">
      <c r="A34" s="14" t="str">
        <f>'2º TRIMESTRE'!A34</f>
        <v>Pregão Eletrônico/ nº 017/2020</v>
      </c>
      <c r="B34" s="14" t="str">
        <f>'2º TRIMESTRE'!B34</f>
        <v>SERVIÇO DE MANUTENÇÃO E/OU INSTALAÇÃO DE BRINQUEDOS DE MADEIRA, INSTALADOS EM PARQUES E PRAÇAS DA CIDADE DO RECIFE</v>
      </c>
      <c r="C34" s="14">
        <f>'2º TRIMESTRE'!C34</f>
        <v>0</v>
      </c>
      <c r="D34" s="14">
        <f>'2º TRIMESTRE'!D34</f>
        <v>0</v>
      </c>
      <c r="E34" s="16">
        <f>'2º TRIMESTRE'!E34</f>
        <v>0</v>
      </c>
      <c r="F34" s="16">
        <f>'2º TRIMESTRE'!F34</f>
        <v>0</v>
      </c>
      <c r="G34" s="14" t="str">
        <f>'2º TRIMESTRE'!G34</f>
        <v>06.157.352/0001-31</v>
      </c>
      <c r="H34" s="14" t="str">
        <f>'2º TRIMESTRE'!H34</f>
        <v>ROBERTO &amp; JAIR COMÉRCIO E SERVIÇOS LTDA-ME</v>
      </c>
      <c r="I34" s="14" t="str">
        <f>'2º TRIMESTRE'!I34</f>
        <v>6-003/21</v>
      </c>
      <c r="J34" s="44">
        <f>'2º TRIMESTRE'!J34</f>
        <v>44246</v>
      </c>
      <c r="K34" s="15">
        <f>'2º TRIMESTRE'!K34</f>
        <v>365</v>
      </c>
      <c r="L34" s="16">
        <f>'2º TRIMESTRE'!L34</f>
        <v>159999.96</v>
      </c>
      <c r="M34" s="44">
        <f>'2º TRIMESTRE'!M34</f>
        <v>44701</v>
      </c>
      <c r="N34" s="15">
        <f>'2º TRIMESTRE'!N34</f>
        <v>90</v>
      </c>
      <c r="O34" s="16">
        <f>'2º TRIMESTRE'!O34</f>
        <v>39425.78</v>
      </c>
      <c r="P34" s="57">
        <f>'2º TRIMESTRE'!P34</f>
        <v>0</v>
      </c>
      <c r="Q34" s="15" t="str">
        <f>'2º TRIMESTRE'!Q34</f>
        <v>3.3.90.39</v>
      </c>
      <c r="R34" s="195">
        <f>'2º TRIMESTRE'!R34</f>
        <v>199425.69</v>
      </c>
      <c r="S34" s="195">
        <v>0</v>
      </c>
      <c r="T34" s="195">
        <f>'2º TRIMESTRE'!T34+S34</f>
        <v>48287.840000000004</v>
      </c>
      <c r="U34" s="195">
        <f>'2º TRIMESTRE'!U34+S34</f>
        <v>199425.69</v>
      </c>
      <c r="V34" s="15" t="str">
        <f>'2º TRIMESTRE'!V34</f>
        <v>encerrado</v>
      </c>
      <c r="W34" s="41"/>
      <c r="X34" s="41"/>
      <c r="Y34" s="41"/>
      <c r="Z34" s="38"/>
    </row>
    <row r="35" spans="1:26" ht="42.75">
      <c r="A35" s="14" t="str">
        <f>'2º TRIMESTRE'!A35</f>
        <v>CONCORRÊNCIA / nº 14/2020</v>
      </c>
      <c r="B35" s="14" t="str">
        <f>'2º TRIMESTRE'!B35</f>
        <v>CONTRATACAO DE EMPRESA DE ENGENHARIA PARA REALIZACAO DE MANUTENCAO PREVENTIVA E CORRETIVA DO SISTEMA DE ILUMINACAO PUBLICA CONVENCIONAL DAS RPAS DO MUNICIPIO DO RECIFE. EM POSTES COM ATE 12 METROS DE ALTURA LOTE I. RPA 1 E 6</v>
      </c>
      <c r="C35" s="14">
        <f>'2º TRIMESTRE'!C35</f>
        <v>0</v>
      </c>
      <c r="D35" s="14">
        <f>'2º TRIMESTRE'!D35</f>
        <v>0</v>
      </c>
      <c r="E35" s="16">
        <f>'2º TRIMESTRE'!E35</f>
        <v>0</v>
      </c>
      <c r="F35" s="16">
        <f>'2º TRIMESTRE'!F35</f>
        <v>0</v>
      </c>
      <c r="G35" s="14" t="str">
        <f>'2º TRIMESTRE'!G35</f>
        <v>03.834.750/0001-57</v>
      </c>
      <c r="H35" s="14" t="str">
        <f>'2º TRIMESTRE'!H35</f>
        <v>EIP SERVICOS DE ILUMINACAO LTDA</v>
      </c>
      <c r="I35" s="14" t="str">
        <f>'2º TRIMESTRE'!I35</f>
        <v>6-004/21</v>
      </c>
      <c r="J35" s="44">
        <f>'2º TRIMESTRE'!J35</f>
        <v>44270</v>
      </c>
      <c r="K35" s="15">
        <f>'2º TRIMESTRE'!K35</f>
        <v>790</v>
      </c>
      <c r="L35" s="16">
        <f>'2º TRIMESTRE'!L35</f>
        <v>1459741.65</v>
      </c>
      <c r="M35" s="44">
        <f>'2º TRIMESTRE'!M35</f>
        <v>45060</v>
      </c>
      <c r="N35" s="15">
        <f>'2º TRIMESTRE'!N35</f>
        <v>0</v>
      </c>
      <c r="O35" s="16">
        <f>'2º TRIMESTRE'!O35</f>
        <v>271913.86</v>
      </c>
      <c r="P35" s="57">
        <f>'2º TRIMESTRE'!P35</f>
        <v>224737.52</v>
      </c>
      <c r="Q35" s="15" t="str">
        <f>'2º TRIMESTRE'!Q35</f>
        <v>3.3.90.39</v>
      </c>
      <c r="R35" s="195">
        <f>'2º TRIMESTRE'!R35+322829.58</f>
        <v>1337840.7</v>
      </c>
      <c r="S35" s="195">
        <v>322829.58</v>
      </c>
      <c r="T35" s="195">
        <f>'2º TRIMESTRE'!T35+S35</f>
        <v>685324.22</v>
      </c>
      <c r="U35" s="195">
        <f>'2º TRIMESTRE'!U35+S35</f>
        <v>1337840.7</v>
      </c>
      <c r="V35" s="15" t="str">
        <f>'2º TRIMESTRE'!V35</f>
        <v>andamento</v>
      </c>
      <c r="W35" s="41"/>
      <c r="X35" s="41"/>
      <c r="Y35" s="41"/>
      <c r="Z35" s="38"/>
    </row>
    <row r="36" spans="1:26" ht="42.75">
      <c r="A36" s="14" t="str">
        <f>'2º TRIMESTRE'!A36</f>
        <v>CONCORRÊNCIA / nº 14/2020</v>
      </c>
      <c r="B36" s="14" t="str">
        <f>'2º TRIMESTRE'!B36</f>
        <v>CONTRATACAO DE EMPRESA DE ENGENHARIA PARA REALIZACAO DE MANUTENCAO PREVENTIVA E CORRETIVA DO SISTEMA DE ILUMINACAO PUBLICA CONVENCIONAL DAS RPAS DO MUNICIPIO DO RECIFE. EM POSTES COM ATE 12 METROS DE ALTURA LOTE II RPA 2 E 3</v>
      </c>
      <c r="C36" s="14">
        <f>'2º TRIMESTRE'!C36</f>
        <v>0</v>
      </c>
      <c r="D36" s="14">
        <f>'2º TRIMESTRE'!D36</f>
        <v>0</v>
      </c>
      <c r="E36" s="16">
        <f>'2º TRIMESTRE'!E36</f>
        <v>0</v>
      </c>
      <c r="F36" s="16">
        <f>'2º TRIMESTRE'!F36</f>
        <v>0</v>
      </c>
      <c r="G36" s="14" t="str">
        <f>'2º TRIMESTRE'!G36</f>
        <v>03.834.750/0001-57</v>
      </c>
      <c r="H36" s="14" t="str">
        <f>'2º TRIMESTRE'!H36</f>
        <v>EIP SERVICOS DE ILUMINACAO LTDA</v>
      </c>
      <c r="I36" s="14" t="str">
        <f>'2º TRIMESTRE'!I36</f>
        <v>6-005/21</v>
      </c>
      <c r="J36" s="44">
        <f>'2º TRIMESTRE'!J36</f>
        <v>44270</v>
      </c>
      <c r="K36" s="15">
        <f>'2º TRIMESTRE'!K36</f>
        <v>790</v>
      </c>
      <c r="L36" s="16">
        <f>'2º TRIMESTRE'!L36</f>
        <v>1589764.85</v>
      </c>
      <c r="M36" s="44">
        <f>'2º TRIMESTRE'!M36</f>
        <v>45060</v>
      </c>
      <c r="N36" s="15">
        <f>'2º TRIMESTRE'!N36</f>
        <v>0</v>
      </c>
      <c r="O36" s="16">
        <f>'2º TRIMESTRE'!O36</f>
        <v>337768.38</v>
      </c>
      <c r="P36" s="57">
        <f>'2º TRIMESTRE'!P36</f>
        <v>0</v>
      </c>
      <c r="Q36" s="15" t="str">
        <f>'2º TRIMESTRE'!Q36</f>
        <v>3.3.90.39</v>
      </c>
      <c r="R36" s="195">
        <f>'2º TRIMESTRE'!R36+335837.8</f>
        <v>1519364.73</v>
      </c>
      <c r="S36" s="195">
        <v>335837.8</v>
      </c>
      <c r="T36" s="195">
        <f>'2º TRIMESTRE'!T36+S36</f>
        <v>883219.0999999999</v>
      </c>
      <c r="U36" s="195">
        <f>'2º TRIMESTRE'!U36+S36</f>
        <v>1519364.73</v>
      </c>
      <c r="V36" s="15" t="str">
        <f>'2º TRIMESTRE'!V36</f>
        <v>andamento</v>
      </c>
      <c r="W36" s="41"/>
      <c r="X36" s="41"/>
      <c r="Y36" s="41"/>
      <c r="Z36" s="38"/>
    </row>
    <row r="37" spans="1:26" ht="31.5">
      <c r="A37" s="14" t="str">
        <f>'2º TRIMESTRE'!A37</f>
        <v>CONCORRÊNCIA / nº 14/2020</v>
      </c>
      <c r="B37" s="14" t="str">
        <f>'2º TRIMESTRE'!B37</f>
        <v>CONTRATAÇÃO DE EMPRESA DE ENGENHARIA PARA REALIZAÇÃO DE MANUTENÇÃO PREVENTIVA E CORRETIVA DO SISTEMA DE ILUMINAÇÃO PUBLICA CONVENCIONAL DAS RPAS DO RECIFE LOTE III RPA  4 E 5</v>
      </c>
      <c r="C37" s="14">
        <f>'2º TRIMESTRE'!C37</f>
        <v>0</v>
      </c>
      <c r="D37" s="14">
        <f>'2º TRIMESTRE'!D37</f>
        <v>0</v>
      </c>
      <c r="E37" s="16">
        <f>'2º TRIMESTRE'!E37</f>
        <v>0</v>
      </c>
      <c r="F37" s="16">
        <f>'2º TRIMESTRE'!F37</f>
        <v>0</v>
      </c>
      <c r="G37" s="14" t="str">
        <f>'2º TRIMESTRE'!G37</f>
        <v>03.834.750/0001-57</v>
      </c>
      <c r="H37" s="14" t="str">
        <f>'2º TRIMESTRE'!H37</f>
        <v>EIP SERVICOS DE ILUMINACAO LTDA</v>
      </c>
      <c r="I37" s="14" t="str">
        <f>'2º TRIMESTRE'!I37</f>
        <v>6-006/21</v>
      </c>
      <c r="J37" s="44">
        <f>'2º TRIMESTRE'!J37</f>
        <v>44270</v>
      </c>
      <c r="K37" s="15">
        <f>'2º TRIMESTRE'!K37</f>
        <v>790</v>
      </c>
      <c r="L37" s="16">
        <f>'2º TRIMESTRE'!L37</f>
        <v>1435226.94</v>
      </c>
      <c r="M37" s="44">
        <f>'2º TRIMESTRE'!M37</f>
        <v>45060</v>
      </c>
      <c r="N37" s="15">
        <f>'2º TRIMESTRE'!N37</f>
        <v>0</v>
      </c>
      <c r="O37" s="16">
        <f>'2º TRIMESTRE'!O37</f>
        <v>341654.57999999996</v>
      </c>
      <c r="P37" s="57">
        <f>'2º TRIMESTRE'!P37</f>
        <v>227678.31</v>
      </c>
      <c r="Q37" s="15" t="str">
        <f>'2º TRIMESTRE'!Q37</f>
        <v>3.3.90.39</v>
      </c>
      <c r="R37" s="195">
        <f>'2º TRIMESTRE'!R37+169382.5</f>
        <v>1194435.62</v>
      </c>
      <c r="S37" s="195">
        <v>169382.5</v>
      </c>
      <c r="T37" s="195">
        <f>'2º TRIMESTRE'!T37+S37</f>
        <v>633282.64</v>
      </c>
      <c r="U37" s="195">
        <f>'2º TRIMESTRE'!U37+S37</f>
        <v>1194435.62</v>
      </c>
      <c r="V37" s="15" t="str">
        <f>'2º TRIMESTRE'!V37</f>
        <v>andamento</v>
      </c>
      <c r="W37" s="41"/>
      <c r="X37" s="41"/>
      <c r="Y37" s="41"/>
      <c r="Z37" s="38"/>
    </row>
    <row r="38" spans="1:26" ht="31.5">
      <c r="A38" s="14" t="str">
        <f>'2º TRIMESTRE'!A38</f>
        <v>CONCORRÊNCIA / nº 17/2020</v>
      </c>
      <c r="B38" s="14" t="str">
        <f>'2º TRIMESTRE'!B38</f>
        <v>CONTRATACAO DOS SERVICOS DE MANUTENCAO E RECUPERACAO DA PAVIMENTACAO NAS VIAS EM PARALELEPIPEDOS CONSTITUINTES DO SISTEMA VIARIO DA CIDADE DO RECIFE. LOTE I - RPA 1</v>
      </c>
      <c r="C38" s="14">
        <f>'2º TRIMESTRE'!C38</f>
        <v>0</v>
      </c>
      <c r="D38" s="14">
        <f>'2º TRIMESTRE'!D38</f>
        <v>0</v>
      </c>
      <c r="E38" s="16">
        <f>'2º TRIMESTRE'!E38</f>
        <v>0</v>
      </c>
      <c r="F38" s="16">
        <f>'2º TRIMESTRE'!F38</f>
        <v>0</v>
      </c>
      <c r="G38" s="14" t="str">
        <f>'2º TRIMESTRE'!G38</f>
        <v>10.811.370/0001-62</v>
      </c>
      <c r="H38" s="14" t="str">
        <f>'2º TRIMESTRE'!H38</f>
        <v>GUERRA CONSTRUCOES LTDA</v>
      </c>
      <c r="I38" s="14" t="str">
        <f>'2º TRIMESTRE'!I38</f>
        <v>6-007/21</v>
      </c>
      <c r="J38" s="44">
        <f>'2º TRIMESTRE'!J38</f>
        <v>44285</v>
      </c>
      <c r="K38" s="15">
        <f>'2º TRIMESTRE'!K38</f>
        <v>760</v>
      </c>
      <c r="L38" s="16">
        <f>'2º TRIMESTRE'!L38</f>
        <v>4242714.5</v>
      </c>
      <c r="M38" s="44">
        <f>'2º TRIMESTRE'!M38</f>
        <v>45045</v>
      </c>
      <c r="N38" s="15">
        <f>'2º TRIMESTRE'!N38</f>
        <v>0</v>
      </c>
      <c r="O38" s="16">
        <f>'2º TRIMESTRE'!O38</f>
        <v>0</v>
      </c>
      <c r="P38" s="57">
        <f>'2º TRIMESTRE'!P38</f>
        <v>640391.6</v>
      </c>
      <c r="Q38" s="15" t="str">
        <f>'2º TRIMESTRE'!Q38</f>
        <v>3.3.90.39</v>
      </c>
      <c r="R38" s="195">
        <f>'2º TRIMESTRE'!R38+1730628.47</f>
        <v>2644763.21</v>
      </c>
      <c r="S38" s="195">
        <v>1425203.89</v>
      </c>
      <c r="T38" s="195">
        <f>'2º TRIMESTRE'!T38+S38</f>
        <v>1709727.67</v>
      </c>
      <c r="U38" s="195">
        <f>'2º TRIMESTRE'!U38+S38</f>
        <v>2339338.63</v>
      </c>
      <c r="V38" s="15" t="str">
        <f>'2º TRIMESTRE'!V38</f>
        <v>andamento</v>
      </c>
      <c r="W38" s="41"/>
      <c r="X38" s="41"/>
      <c r="Y38" s="41"/>
      <c r="Z38" s="38"/>
    </row>
    <row r="39" spans="1:26" ht="31.5">
      <c r="A39" s="14" t="str">
        <f>'2º TRIMESTRE'!A39</f>
        <v>CONCORRÊNCIA / nº 17/2020</v>
      </c>
      <c r="B39" s="14" t="str">
        <f>'2º TRIMESTRE'!B39</f>
        <v>CONTRATACAO DOS SERVICOS DE MANUTENCAO E RECUPERACAO DA PAVIMENTACAO NAS VIAS EM PARALELEPIPEDOS CONSTITUINTES DO SISTEMA VIARIO DA CIDADE DO RECIFE. LOTES II - RPA 2 E 3</v>
      </c>
      <c r="C39" s="14">
        <f>'2º TRIMESTRE'!C39</f>
        <v>0</v>
      </c>
      <c r="D39" s="14">
        <f>'2º TRIMESTRE'!D39</f>
        <v>0</v>
      </c>
      <c r="E39" s="16">
        <f>'2º TRIMESTRE'!E39</f>
        <v>0</v>
      </c>
      <c r="F39" s="16">
        <f>'2º TRIMESTRE'!F39</f>
        <v>0</v>
      </c>
      <c r="G39" s="14" t="str">
        <f>'2º TRIMESTRE'!G39</f>
        <v>07.086.088/0001-55</v>
      </c>
      <c r="H39" s="14" t="str">
        <f>'2º TRIMESTRE'!H39</f>
        <v>SOLO CONSTRUCOES E TERRAPLANAGEM LTDA</v>
      </c>
      <c r="I39" s="14" t="str">
        <f>'2º TRIMESTRE'!I39</f>
        <v>6-008/21</v>
      </c>
      <c r="J39" s="44">
        <f>'2º TRIMESTRE'!J39</f>
        <v>44285</v>
      </c>
      <c r="K39" s="15">
        <f>'2º TRIMESTRE'!K39</f>
        <v>760</v>
      </c>
      <c r="L39" s="16">
        <f>'2º TRIMESTRE'!L39</f>
        <v>5068725.74</v>
      </c>
      <c r="M39" s="44">
        <f>'2º TRIMESTRE'!M39</f>
        <v>45045</v>
      </c>
      <c r="N39" s="15">
        <f>'2º TRIMESTRE'!N39</f>
        <v>0</v>
      </c>
      <c r="O39" s="16">
        <f>'2º TRIMESTRE'!O39</f>
        <v>0</v>
      </c>
      <c r="P39" s="57">
        <f>'2º TRIMESTRE'!P39</f>
        <v>765001.36</v>
      </c>
      <c r="Q39" s="15" t="str">
        <f>'2º TRIMESTRE'!Q39</f>
        <v>3.3.90.39</v>
      </c>
      <c r="R39" s="195">
        <f>'2º TRIMESTRE'!R39+737486.77</f>
        <v>2397230.83</v>
      </c>
      <c r="S39" s="195">
        <v>273766.54</v>
      </c>
      <c r="T39" s="195">
        <f>'2º TRIMESTRE'!T39+S39</f>
        <v>718430.8700000001</v>
      </c>
      <c r="U39" s="195">
        <f>'2º TRIMESTRE'!U39+S39</f>
        <v>1933510.6</v>
      </c>
      <c r="V39" s="15" t="str">
        <f>'2º TRIMESTRE'!V39</f>
        <v>andamento</v>
      </c>
      <c r="W39" s="41"/>
      <c r="X39" s="41"/>
      <c r="Y39" s="41"/>
      <c r="Z39" s="38"/>
    </row>
    <row r="40" spans="1:26" ht="31.5">
      <c r="A40" s="14" t="str">
        <f>'2º TRIMESTRE'!A40</f>
        <v>concorrência /nº 17/2020</v>
      </c>
      <c r="B40" s="14" t="str">
        <f>'2º TRIMESTRE'!B40</f>
        <v>CONTRATACAO DOS SERVICOS DE MANUTENCAO E RECUPERACAO DA PAVIMENTACAO NAS VIAS EM PARALELEPIPEDOS CONSTITUINTES DO SISTEMA VIARIO DA CIDADE DO RECIFE. LOTES III - RPA 4 E 5</v>
      </c>
      <c r="C40" s="14">
        <f>'2º TRIMESTRE'!C40</f>
        <v>0</v>
      </c>
      <c r="D40" s="14">
        <f>'2º TRIMESTRE'!D40</f>
        <v>0</v>
      </c>
      <c r="E40" s="16">
        <f>'2º TRIMESTRE'!E40</f>
        <v>0</v>
      </c>
      <c r="F40" s="16">
        <f>'2º TRIMESTRE'!F40</f>
        <v>0</v>
      </c>
      <c r="G40" s="14" t="str">
        <f>'2º TRIMESTRE'!G40</f>
        <v>05.625.079/0001-60</v>
      </c>
      <c r="H40" s="14" t="str">
        <f>'2º TRIMESTRE'!H40</f>
        <v>CONSTRUTORA MARDIFI LTDA - EPP </v>
      </c>
      <c r="I40" s="14" t="str">
        <f>'2º TRIMESTRE'!I40</f>
        <v>6-009/21</v>
      </c>
      <c r="J40" s="44">
        <f>'2º TRIMESTRE'!J40</f>
        <v>44285</v>
      </c>
      <c r="K40" s="15">
        <f>'2º TRIMESTRE'!K40</f>
        <v>760</v>
      </c>
      <c r="L40" s="16">
        <f>'2º TRIMESTRE'!L40</f>
        <v>7317745.62</v>
      </c>
      <c r="M40" s="44">
        <f>'2º TRIMESTRE'!M40</f>
        <v>45045</v>
      </c>
      <c r="N40" s="15">
        <f>'2º TRIMESTRE'!N40</f>
        <v>0</v>
      </c>
      <c r="O40" s="16">
        <f>'2º TRIMESTRE'!O40</f>
        <v>132982.7</v>
      </c>
      <c r="P40" s="57">
        <f>'2º TRIMESTRE'!P40</f>
        <v>1257436.68</v>
      </c>
      <c r="Q40" s="15" t="str">
        <f>'2º TRIMESTRE'!Q40</f>
        <v>3.3.90.39</v>
      </c>
      <c r="R40" s="195">
        <f>'2º TRIMESTRE'!R40+508848.24</f>
        <v>1618317.05</v>
      </c>
      <c r="S40" s="195">
        <v>508848.24</v>
      </c>
      <c r="T40" s="195">
        <f>'2º TRIMESTRE'!T40+S40</f>
        <v>717047.95</v>
      </c>
      <c r="U40" s="195">
        <f>'2º TRIMESTRE'!U40+S40</f>
        <v>1618317.05</v>
      </c>
      <c r="V40" s="15" t="str">
        <f>'2º TRIMESTRE'!V40</f>
        <v>andamento</v>
      </c>
      <c r="W40" s="41"/>
      <c r="X40" s="41"/>
      <c r="Y40" s="41"/>
      <c r="Z40" s="38"/>
    </row>
    <row r="41" spans="1:26" ht="31.5">
      <c r="A41" s="14" t="str">
        <f>'2º TRIMESTRE'!A41</f>
        <v>concorrência /nº 17/2020</v>
      </c>
      <c r="B41" s="14" t="str">
        <f>'2º TRIMESTRE'!B41</f>
        <v>CONTRATACAO DOS SERVICOS DE MANUTENCAO E RECUPERACAO DA PAVIMENTACAO NAS VIAS EM PARALELEPIPEDOS CONSTITUINTES DO SISTEMA VIARIO DA CIDADE DO RECIFE. LOTES IV. - RPA 06</v>
      </c>
      <c r="C41" s="14">
        <f>'2º TRIMESTRE'!C41</f>
        <v>0</v>
      </c>
      <c r="D41" s="14">
        <f>'2º TRIMESTRE'!D41</f>
        <v>0</v>
      </c>
      <c r="E41" s="16">
        <f>'2º TRIMESTRE'!E41</f>
        <v>0</v>
      </c>
      <c r="F41" s="16">
        <f>'2º TRIMESTRE'!F41</f>
        <v>0</v>
      </c>
      <c r="G41" s="14" t="str">
        <f>'2º TRIMESTRE'!G41</f>
        <v>10.811.370/0001-62</v>
      </c>
      <c r="H41" s="14" t="str">
        <f>'2º TRIMESTRE'!H41</f>
        <v>GUERRA CONSTRUCOES LTDA</v>
      </c>
      <c r="I41" s="14" t="str">
        <f>'2º TRIMESTRE'!I41</f>
        <v>6-010/21</v>
      </c>
      <c r="J41" s="44">
        <f>'2º TRIMESTRE'!J41</f>
        <v>44285</v>
      </c>
      <c r="K41" s="15">
        <f>'2º TRIMESTRE'!K41</f>
        <v>760</v>
      </c>
      <c r="L41" s="16">
        <f>'2º TRIMESTRE'!L41</f>
        <v>6534905.35</v>
      </c>
      <c r="M41" s="44">
        <f>'2º TRIMESTRE'!M41</f>
        <v>45045</v>
      </c>
      <c r="N41" s="15">
        <f>'2º TRIMESTRE'!N41</f>
        <v>0</v>
      </c>
      <c r="O41" s="16">
        <f>'2º TRIMESTRE'!O41</f>
        <v>920507.45</v>
      </c>
      <c r="P41" s="57">
        <f>'2º TRIMESTRE'!P41</f>
        <v>986199.95</v>
      </c>
      <c r="Q41" s="15" t="str">
        <f>'2º TRIMESTRE'!Q41</f>
        <v>3.3.90.39</v>
      </c>
      <c r="R41" s="195">
        <f>'2º TRIMESTRE'!R41+687475.6</f>
        <v>3105226.7199999997</v>
      </c>
      <c r="S41" s="195">
        <v>532665.8</v>
      </c>
      <c r="T41" s="195">
        <f>'2º TRIMESTRE'!T41+S41</f>
        <v>1348160.25</v>
      </c>
      <c r="U41" s="195">
        <f>'2º TRIMESTRE'!U41+S41</f>
        <v>2950416.92</v>
      </c>
      <c r="V41" s="15" t="str">
        <f>'2º TRIMESTRE'!V41</f>
        <v>andamento</v>
      </c>
      <c r="W41" s="41"/>
      <c r="X41" s="41"/>
      <c r="Y41" s="41"/>
      <c r="Z41" s="38"/>
    </row>
    <row r="42" spans="1:26" ht="31.5">
      <c r="A42" s="14" t="str">
        <f>'2º TRIMESTRE'!A42</f>
        <v>INEX 9/2021</v>
      </c>
      <c r="B42" s="14" t="str">
        <f>'2º TRIMESTRE'!B42</f>
        <v>CONTRATACAO DOS SERVICOS DE MANUTENCAO PREVENTIVA DO SISTEMA DE MACRODRENAGEM PELO PROCESSO DE BARRAGEM MOVEL EM DIVERSOS CANAIS DA CIDADE DO RECIFE</v>
      </c>
      <c r="C42" s="14">
        <f>'2º TRIMESTRE'!C42</f>
        <v>0</v>
      </c>
      <c r="D42" s="14">
        <f>'2º TRIMESTRE'!D42</f>
        <v>0</v>
      </c>
      <c r="E42" s="16">
        <f>'2º TRIMESTRE'!E42</f>
        <v>0</v>
      </c>
      <c r="F42" s="16">
        <f>'2º TRIMESTRE'!F42</f>
        <v>0</v>
      </c>
      <c r="G42" s="14" t="str">
        <f>'2º TRIMESTRE'!G42</f>
        <v>03.366.083/0001-25</v>
      </c>
      <c r="H42" s="14" t="str">
        <f>'2º TRIMESTRE'!H42</f>
        <v>HIDROMAX CONSTRUÇOES LTDA</v>
      </c>
      <c r="I42" s="14" t="str">
        <f>'2º TRIMESTRE'!I42</f>
        <v>6-012/21</v>
      </c>
      <c r="J42" s="44">
        <f>'2º TRIMESTRE'!J42</f>
        <v>44354</v>
      </c>
      <c r="K42" s="15">
        <f>'2º TRIMESTRE'!K42</f>
        <v>760</v>
      </c>
      <c r="L42" s="16">
        <f>'2º TRIMESTRE'!L42</f>
        <v>1940544.76</v>
      </c>
      <c r="M42" s="44">
        <f>'2º TRIMESTRE'!M42</f>
        <v>45114</v>
      </c>
      <c r="N42" s="15">
        <f>'2º TRIMESTRE'!N42</f>
        <v>0</v>
      </c>
      <c r="O42" s="16">
        <f>'2º TRIMESTRE'!O42+363276</f>
        <v>390430</v>
      </c>
      <c r="P42" s="57">
        <f>'2º TRIMESTRE'!P42</f>
        <v>0</v>
      </c>
      <c r="Q42" s="15" t="str">
        <f>'2º TRIMESTRE'!Q42</f>
        <v>3.3.90.39</v>
      </c>
      <c r="R42" s="195">
        <f>'2º TRIMESTRE'!R42+520782.07</f>
        <v>1526762.53</v>
      </c>
      <c r="S42" s="195">
        <v>324936.95</v>
      </c>
      <c r="T42" s="195">
        <f>'2º TRIMESTRE'!T42+S42</f>
        <v>996075.8999999999</v>
      </c>
      <c r="U42" s="195">
        <f>'2º TRIMESTRE'!U42+S42</f>
        <v>1330917.41</v>
      </c>
      <c r="V42" s="15" t="str">
        <f>'2º TRIMESTRE'!V42</f>
        <v>andamento</v>
      </c>
      <c r="W42" s="41"/>
      <c r="X42" s="41"/>
      <c r="Y42" s="41"/>
      <c r="Z42" s="38"/>
    </row>
    <row r="43" spans="1:26" ht="31.5">
      <c r="A43" s="14" t="str">
        <f>'2º TRIMESTRE'!A43</f>
        <v>concorrência /nº 001/2021</v>
      </c>
      <c r="B43" s="14" t="str">
        <f>'2º TRIMESTRE'!B43</f>
        <v>CONTRATACAO DE EMPRESA DE ENGENHARIA ESPECIALIZADA. PARA A OPERACAO. AUTOMACAO E MANUTENCAO ELETRICA E MECANICA DAS ESTACOES DE BOMBEAMENTO E COMPORTAS DA CIDADE DO RECIFE</v>
      </c>
      <c r="C43" s="14">
        <f>'2º TRIMESTRE'!C43</f>
        <v>0</v>
      </c>
      <c r="D43" s="14">
        <f>'2º TRIMESTRE'!D43</f>
        <v>0</v>
      </c>
      <c r="E43" s="16">
        <f>'2º TRIMESTRE'!E43</f>
        <v>0</v>
      </c>
      <c r="F43" s="16">
        <f>'2º TRIMESTRE'!F43</f>
        <v>0</v>
      </c>
      <c r="G43" s="14" t="str">
        <f>'2º TRIMESTRE'!G43</f>
        <v>41.116.138/0001-38</v>
      </c>
      <c r="H43" s="14" t="str">
        <f>'2º TRIMESTRE'!H43</f>
        <v>REAL ENERGY LTDA</v>
      </c>
      <c r="I43" s="14" t="str">
        <f>'2º TRIMESTRE'!I43</f>
        <v>6-014/21</v>
      </c>
      <c r="J43" s="44">
        <f>'2º TRIMESTRE'!J43</f>
        <v>44347</v>
      </c>
      <c r="K43" s="15">
        <f>'2º TRIMESTRE'!K43</f>
        <v>790</v>
      </c>
      <c r="L43" s="16">
        <f>'2º TRIMESTRE'!L43</f>
        <v>3652773.14</v>
      </c>
      <c r="M43" s="44">
        <f>'2º TRIMESTRE'!M43</f>
        <v>45137</v>
      </c>
      <c r="N43" s="15">
        <f>'2º TRIMESTRE'!N43</f>
        <v>0</v>
      </c>
      <c r="O43" s="16">
        <f>'2º TRIMESTRE'!O43+399634.42</f>
        <v>399634.42</v>
      </c>
      <c r="P43" s="57">
        <f>'2º TRIMESTRE'!P43+418590.06</f>
        <v>418590.06</v>
      </c>
      <c r="Q43" s="15" t="str">
        <f>'2º TRIMESTRE'!Q43</f>
        <v>3.3.90.39</v>
      </c>
      <c r="R43" s="195">
        <f>'2º TRIMESTRE'!R43+256591.89</f>
        <v>1616883.58</v>
      </c>
      <c r="S43" s="195">
        <v>256591.89</v>
      </c>
      <c r="T43" s="195">
        <f>'2º TRIMESTRE'!T43+S43</f>
        <v>879531.2000000001</v>
      </c>
      <c r="U43" s="195">
        <f>'2º TRIMESTRE'!U43+S43</f>
        <v>1616883.58</v>
      </c>
      <c r="V43" s="15" t="str">
        <f>'2º TRIMESTRE'!V43</f>
        <v>andamento</v>
      </c>
      <c r="W43" s="41"/>
      <c r="X43" s="41"/>
      <c r="Y43" s="41"/>
      <c r="Z43" s="38"/>
    </row>
    <row r="44" spans="1:26" ht="42.75">
      <c r="A44" s="14" t="str">
        <f>'2º TRIMESTRE'!A44</f>
        <v>concorrência /nº 015/2020</v>
      </c>
      <c r="B44" s="14" t="str">
        <f>'2º TRIMESTRE'!B44</f>
        <v>SERVIÇOS DE RECUPERAÇÃO DE VIAS URBANAS PAVIMENTAS EM CONCRETO DE CIMENTO PORTLAND EM TRECHOS DE VIAS NAS RPA'S 1 A 6</v>
      </c>
      <c r="C44" s="14">
        <f>'2º TRIMESTRE'!C44</f>
        <v>0</v>
      </c>
      <c r="D44" s="14">
        <f>'2º TRIMESTRE'!D44</f>
        <v>0</v>
      </c>
      <c r="E44" s="16">
        <f>'2º TRIMESTRE'!E44</f>
        <v>0</v>
      </c>
      <c r="F44" s="16">
        <f>'2º TRIMESTRE'!F44</f>
        <v>0</v>
      </c>
      <c r="G44" s="14" t="str">
        <f>'2º TRIMESTRE'!G44</f>
        <v>00.338.885/0001-33</v>
      </c>
      <c r="H44" s="14" t="str">
        <f>'2º TRIMESTRE'!H44</f>
        <v>NOVATEC CONSTRUCOES E EMPREENDIMENTOS LTDA</v>
      </c>
      <c r="I44" s="14" t="str">
        <f>'2º TRIMESTRE'!I44</f>
        <v>6-015/21</v>
      </c>
      <c r="J44" s="44">
        <f>'2º TRIMESTRE'!J44</f>
        <v>44363</v>
      </c>
      <c r="K44" s="15">
        <f>'2º TRIMESTRE'!K44</f>
        <v>790</v>
      </c>
      <c r="L44" s="16">
        <f>'2º TRIMESTRE'!L44</f>
        <v>8412130.06</v>
      </c>
      <c r="M44" s="44">
        <f>'2º TRIMESTRE'!M44</f>
        <v>45153</v>
      </c>
      <c r="N44" s="15">
        <f>'2º TRIMESTRE'!N44</f>
        <v>0</v>
      </c>
      <c r="O44" s="16">
        <f>'2º TRIMESTRE'!O44</f>
        <v>1027590.58</v>
      </c>
      <c r="P44" s="57">
        <f>'2º TRIMESTRE'!P44+1289394.26</f>
        <v>1289394.26</v>
      </c>
      <c r="Q44" s="15" t="str">
        <f>'2º TRIMESTRE'!Q44</f>
        <v>3.3.90.39</v>
      </c>
      <c r="R44" s="195">
        <f>'2º TRIMESTRE'!R44+1131532.48</f>
        <v>4761093.08</v>
      </c>
      <c r="S44" s="195">
        <v>1628582.53</v>
      </c>
      <c r="T44" s="195">
        <f>'2º TRIMESTRE'!T44+S44</f>
        <v>3141310.21</v>
      </c>
      <c r="U44" s="195">
        <f>'2º TRIMESTRE'!U44+S44</f>
        <v>4600075.96</v>
      </c>
      <c r="V44" s="15" t="str">
        <f>'2º TRIMESTRE'!V44</f>
        <v>andamento</v>
      </c>
      <c r="W44" s="41"/>
      <c r="X44" s="41"/>
      <c r="Y44" s="41"/>
      <c r="Z44" s="38"/>
    </row>
    <row r="45" spans="1:26" ht="21">
      <c r="A45" s="14" t="str">
        <f>'2º TRIMESTRE'!A45</f>
        <v>concorrência /nº 004/2021</v>
      </c>
      <c r="B45" s="14" t="str">
        <f>'2º TRIMESTRE'!B45</f>
        <v>RECUPERAÇÃO DE PASSEIOS COM IMPLANTAÇÃO DE ACESSIBILIDADE EM VARIAS VIAS E LOCAIS DO RECIFE</v>
      </c>
      <c r="C45" s="14" t="str">
        <f>'2º TRIMESTRE'!C45</f>
        <v>535346/2020</v>
      </c>
      <c r="D45" s="14" t="str">
        <f>'2º TRIMESTRE'!D45</f>
        <v>FINISA</v>
      </c>
      <c r="E45" s="16">
        <f>'2º TRIMESTRE'!E45</f>
        <v>94508747.5</v>
      </c>
      <c r="F45" s="16">
        <f>'2º TRIMESTRE'!F45</f>
        <v>0</v>
      </c>
      <c r="G45" s="14" t="str">
        <f>'2º TRIMESTRE'!G45</f>
        <v>03.608.944/0001-34</v>
      </c>
      <c r="H45" s="14" t="str">
        <f>'2º TRIMESTRE'!H45</f>
        <v>JEPAC CONSTRUCOES LTDA</v>
      </c>
      <c r="I45" s="14" t="str">
        <f>'2º TRIMESTRE'!I45</f>
        <v>6-018/21</v>
      </c>
      <c r="J45" s="44">
        <f>'2º TRIMESTRE'!J45</f>
        <v>44361</v>
      </c>
      <c r="K45" s="15">
        <f>'2º TRIMESTRE'!K45</f>
        <v>790</v>
      </c>
      <c r="L45" s="16">
        <f>'2º TRIMESTRE'!L45</f>
        <v>6770337.14</v>
      </c>
      <c r="M45" s="44">
        <f>'2º TRIMESTRE'!M45</f>
        <v>45151</v>
      </c>
      <c r="N45" s="15">
        <f>'2º TRIMESTRE'!N45</f>
        <v>0</v>
      </c>
      <c r="O45" s="16">
        <f>'2º TRIMESTRE'!O45+861991.3</f>
        <v>861991.3</v>
      </c>
      <c r="P45" s="57">
        <f>'2º TRIMESTRE'!P45+952037.17</f>
        <v>952037.17</v>
      </c>
      <c r="Q45" s="15" t="str">
        <f>'2º TRIMESTRE'!Q45</f>
        <v>3.3.90.39</v>
      </c>
      <c r="R45" s="195">
        <f>'2º TRIMESTRE'!R45+133228.35</f>
        <v>2194705.43</v>
      </c>
      <c r="S45" s="195">
        <v>266322.81</v>
      </c>
      <c r="T45" s="195">
        <f>'2º TRIMESTRE'!T45+S45</f>
        <v>863169.1599999999</v>
      </c>
      <c r="U45" s="195">
        <f>'2º TRIMESTRE'!U45+S45</f>
        <v>2061477.0800000003</v>
      </c>
      <c r="V45" s="15" t="str">
        <f>'2º TRIMESTRE'!V45</f>
        <v>andamento</v>
      </c>
      <c r="W45" s="41"/>
      <c r="X45" s="41"/>
      <c r="Y45" s="41"/>
      <c r="Z45" s="38"/>
    </row>
    <row r="46" spans="1:26" ht="42.75">
      <c r="A46" s="14" t="str">
        <f>'2º TRIMESTRE'!A46</f>
        <v>CONCORRÊNCIA Licitação: 2/2021</v>
      </c>
      <c r="B46" s="14" t="str">
        <f>'2º TRIMESTRE'!B46</f>
        <v>RECUPERACAO DE ESCADARIAS. MUROS E CORRIMOES LOCALIZADAS NAS DIVERSAS NAS DIVERSAS REGIAO POLITICA ADMINISTRATIVA RPAS DA CIDADE DO RECIFE. DIVIDIDAS EM EM LOTES. LOTE I RPA 2; LOTE II RPA 3 E LOTE III RPA 4.5.6</v>
      </c>
      <c r="C46" s="14" t="str">
        <f>'2º TRIMESTRE'!C46</f>
        <v>535346/2020 e 599406/2021</v>
      </c>
      <c r="D46" s="14" t="str">
        <f>'2º TRIMESTRE'!D46</f>
        <v>FINISA</v>
      </c>
      <c r="E46" s="16">
        <f>'2º TRIMESTRE'!E46</f>
        <v>113346677.56</v>
      </c>
      <c r="F46" s="16">
        <f>'2º TRIMESTRE'!F46</f>
        <v>0</v>
      </c>
      <c r="G46" s="14" t="str">
        <f>'2º TRIMESTRE'!G46</f>
        <v>11.523.068/0001-71</v>
      </c>
      <c r="H46" s="14" t="str">
        <f>'2º TRIMESTRE'!H46</f>
        <v>CONSTRUTORA FAELLA LTDA EPP</v>
      </c>
      <c r="I46" s="14" t="str">
        <f>'2º TRIMESTRE'!I46</f>
        <v>6-021/21</v>
      </c>
      <c r="J46" s="44">
        <f>'2º TRIMESTRE'!J46</f>
        <v>44365</v>
      </c>
      <c r="K46" s="15">
        <f>'2º TRIMESTRE'!K46</f>
        <v>790</v>
      </c>
      <c r="L46" s="16">
        <f>'2º TRIMESTRE'!L46</f>
        <v>6226475.18</v>
      </c>
      <c r="M46" s="44">
        <f>'2º TRIMESTRE'!M46</f>
        <v>45155</v>
      </c>
      <c r="N46" s="15">
        <f>'2º TRIMESTRE'!N46</f>
        <v>0</v>
      </c>
      <c r="O46" s="16">
        <f>'2º TRIMESTRE'!O46+898362.57</f>
        <v>898362.57</v>
      </c>
      <c r="P46" s="57">
        <f>'2º TRIMESTRE'!P46</f>
        <v>0</v>
      </c>
      <c r="Q46" s="15" t="str">
        <f>'2º TRIMESTRE'!Q46</f>
        <v>3.3.90.39</v>
      </c>
      <c r="R46" s="195">
        <f>'2º TRIMESTRE'!R46+1999544.92</f>
        <v>4390477.41</v>
      </c>
      <c r="S46" s="195">
        <v>1943311.77</v>
      </c>
      <c r="T46" s="195">
        <f>'2º TRIMESTRE'!T46+S46</f>
        <v>2751230.7800000003</v>
      </c>
      <c r="U46" s="195">
        <f>'2º TRIMESTRE'!U46+S46</f>
        <v>4334244.26</v>
      </c>
      <c r="V46" s="15" t="str">
        <f>'2º TRIMESTRE'!V46</f>
        <v>andamento</v>
      </c>
      <c r="W46" s="41"/>
      <c r="X46" s="41"/>
      <c r="Y46" s="41"/>
      <c r="Z46" s="38"/>
    </row>
    <row r="47" spans="1:26" ht="42.75">
      <c r="A47" s="14" t="str">
        <f>'2º TRIMESTRE'!A47</f>
        <v>CONCORRÊNCIA Licitação: 2/2021</v>
      </c>
      <c r="B47" s="14" t="str">
        <f>'2º TRIMESTRE'!B47</f>
        <v>RECUPERACAO DE ESCADARIAS. MUROS E CORRIMOES LOCALIZADAS NAS DIVERSAS NAS DIVERSAS REGIAO POLITICA ADMINISTRATIVA RPAS DA CIDADE DO RECIFE. DIVIDIDAS EM EM LOTES. LOTE I RPA 2; LOTE II RPA 3 E LOTE III RPA 4.5.6</v>
      </c>
      <c r="C47" s="14" t="str">
        <f>'2º TRIMESTRE'!C47</f>
        <v>535346/2020 e 599406/2021</v>
      </c>
      <c r="D47" s="14" t="str">
        <f>'2º TRIMESTRE'!D47</f>
        <v>FINISA</v>
      </c>
      <c r="E47" s="16">
        <f>'2º TRIMESTRE'!E47</f>
        <v>113346677.56</v>
      </c>
      <c r="F47" s="16">
        <f>'2º TRIMESTRE'!F47</f>
        <v>0</v>
      </c>
      <c r="G47" s="14" t="str">
        <f>'2º TRIMESTRE'!G47</f>
        <v>07.693.988/0001-60</v>
      </c>
      <c r="H47" s="14" t="str">
        <f>'2º TRIMESTRE'!H47</f>
        <v>F R F ENGENHARIA LTDA</v>
      </c>
      <c r="I47" s="14" t="str">
        <f>'2º TRIMESTRE'!I47</f>
        <v>6-022/21</v>
      </c>
      <c r="J47" s="44">
        <f>'2º TRIMESTRE'!J47</f>
        <v>44365</v>
      </c>
      <c r="K47" s="15">
        <f>'2º TRIMESTRE'!K47</f>
        <v>790</v>
      </c>
      <c r="L47" s="16">
        <f>'2º TRIMESTRE'!L47</f>
        <v>9358982.33</v>
      </c>
      <c r="M47" s="44">
        <f>'2º TRIMESTRE'!M47</f>
        <v>45155</v>
      </c>
      <c r="N47" s="15">
        <f>'2º TRIMESTRE'!N47</f>
        <v>0</v>
      </c>
      <c r="O47" s="16">
        <f>'2º TRIMESTRE'!O47+1515950.35</f>
        <v>2108348.95</v>
      </c>
      <c r="P47" s="57">
        <f>'2º TRIMESTRE'!P47</f>
        <v>0</v>
      </c>
      <c r="Q47" s="15" t="str">
        <f>'2º TRIMESTRE'!Q47</f>
        <v>3.3.90.39</v>
      </c>
      <c r="R47" s="195">
        <f>'2º TRIMESTRE'!R47+2818409.01</f>
        <v>6597816.74</v>
      </c>
      <c r="S47" s="195">
        <v>1460817.69</v>
      </c>
      <c r="T47" s="195">
        <f>'2º TRIMESTRE'!T47+S47</f>
        <v>3590680.35</v>
      </c>
      <c r="U47" s="195">
        <f>'2º TRIMESTRE'!U47+S47</f>
        <v>5168053.55</v>
      </c>
      <c r="V47" s="15" t="str">
        <f>'2º TRIMESTRE'!V47</f>
        <v>andamento</v>
      </c>
      <c r="W47" s="41"/>
      <c r="X47" s="41"/>
      <c r="Y47" s="41"/>
      <c r="Z47" s="38"/>
    </row>
    <row r="48" spans="1:26" ht="42.75">
      <c r="A48" s="14" t="str">
        <f>'2º TRIMESTRE'!A48</f>
        <v>CONCORRÊNCIA Licitação: 2/2021</v>
      </c>
      <c r="B48" s="14" t="str">
        <f>'2º TRIMESTRE'!B48</f>
        <v>RECUPERACAO DE ESCADARIAS. MUROS E CORRIMOES LOCALIZADAS NAS DIVERSAS NAS DIVERSAS REGIAO POLITICA ADMINISTRATIVA RPAS DA CIDADE DO RECIFE. DIVIDIDAS EM EM LOTES. LOTE I RPA 2; LOTE II RPA 3 E LOTE III RPA 4.5.6</v>
      </c>
      <c r="C48" s="14" t="str">
        <f>'2º TRIMESTRE'!C48</f>
        <v>535346/2020 e 599406/2021</v>
      </c>
      <c r="D48" s="14" t="str">
        <f>'2º TRIMESTRE'!D48</f>
        <v>FINISA</v>
      </c>
      <c r="E48" s="16">
        <f>'2º TRIMESTRE'!E48</f>
        <v>113346677.56</v>
      </c>
      <c r="F48" s="16">
        <f>'2º TRIMESTRE'!F48</f>
        <v>0</v>
      </c>
      <c r="G48" s="14" t="str">
        <f>'2º TRIMESTRE'!G48</f>
        <v>10.811.370/0001-62</v>
      </c>
      <c r="H48" s="14" t="str">
        <f>'2º TRIMESTRE'!H48</f>
        <v>GUERRA CONSTRUCOES LTDA</v>
      </c>
      <c r="I48" s="14" t="str">
        <f>'2º TRIMESTRE'!I48</f>
        <v>6-023/21</v>
      </c>
      <c r="J48" s="44">
        <f>'2º TRIMESTRE'!J48</f>
        <v>44365</v>
      </c>
      <c r="K48" s="15">
        <f>'2º TRIMESTRE'!K48</f>
        <v>790</v>
      </c>
      <c r="L48" s="16">
        <f>'2º TRIMESTRE'!L48</f>
        <v>7403917.66</v>
      </c>
      <c r="M48" s="44">
        <f>'2º TRIMESTRE'!M48</f>
        <v>45155</v>
      </c>
      <c r="N48" s="15">
        <f>'2º TRIMESTRE'!N48</f>
        <v>0</v>
      </c>
      <c r="O48" s="16">
        <f>'2º TRIMESTRE'!O48+935669.2</f>
        <v>1202174.2</v>
      </c>
      <c r="P48" s="57">
        <f>'2º TRIMESTRE'!P48</f>
        <v>0</v>
      </c>
      <c r="Q48" s="15" t="str">
        <f>'2º TRIMESTRE'!Q48</f>
        <v>3.3.90.39</v>
      </c>
      <c r="R48" s="195">
        <f>'2º TRIMESTRE'!R48+1467712.56</f>
        <v>6139295.9</v>
      </c>
      <c r="S48" s="195"/>
      <c r="T48" s="195">
        <f>'2º TRIMESTRE'!T48+S48</f>
        <v>1172069.32</v>
      </c>
      <c r="U48" s="195">
        <f>'2º TRIMESTRE'!U48+S48</f>
        <v>3445689.67</v>
      </c>
      <c r="V48" s="15" t="str">
        <f>'2º TRIMESTRE'!V48</f>
        <v>andamento</v>
      </c>
      <c r="W48" s="41"/>
      <c r="X48" s="41"/>
      <c r="Y48" s="41"/>
      <c r="Z48" s="38"/>
    </row>
    <row r="49" spans="1:26" ht="42.75">
      <c r="A49" s="14" t="str">
        <f>'2º TRIMESTRE'!A49</f>
        <v>CONCORRÊNCIA Licitação: 18/2020</v>
      </c>
      <c r="B49" s="14" t="str">
        <f>'2º TRIMESTRE'!B49</f>
        <v>CONTRATACAO DE SERVICOS DE MANUTENCAO PREVENTIVA IMPLANTACAO. REQUALIFICACAO E OU RECAPEAMENTO DE VIAS EM CONCRETO BETUMINOSO USINADO A QUENTE CBUQ DO SISTEMA VIARIO DA CIDADE DO RECIFE LOTE I RPA 1</v>
      </c>
      <c r="C49" s="14" t="str">
        <f>'2º TRIMESTRE'!C49</f>
        <v>535346/2020  e 599406/2021 e 01/2020</v>
      </c>
      <c r="D49" s="14" t="str">
        <f>'2º TRIMESTRE'!D49</f>
        <v>FINISA e CTTU</v>
      </c>
      <c r="E49" s="16">
        <f>'2º TRIMESTRE'!E49</f>
        <v>139865458.63</v>
      </c>
      <c r="F49" s="16">
        <f>'2º TRIMESTRE'!F49</f>
        <v>0</v>
      </c>
      <c r="G49" s="14" t="str">
        <f>'2º TRIMESTRE'!G49</f>
        <v>40.882.060/0001-08</v>
      </c>
      <c r="H49" s="14" t="str">
        <f>'2º TRIMESTRE'!H49</f>
        <v>LIDERMAC CONSTRUCOES E EQUIPAMENTOS LTDA</v>
      </c>
      <c r="I49" s="14" t="str">
        <f>'2º TRIMESTRE'!I49</f>
        <v>6-024/21</v>
      </c>
      <c r="J49" s="44">
        <f>'2º TRIMESTRE'!J49</f>
        <v>44370</v>
      </c>
      <c r="K49" s="15">
        <f>'2º TRIMESTRE'!K49</f>
        <v>760</v>
      </c>
      <c r="L49" s="16">
        <f>'2º TRIMESTRE'!L49</f>
        <v>16439785.83</v>
      </c>
      <c r="M49" s="44">
        <f>'2º TRIMESTRE'!M49</f>
        <v>45130</v>
      </c>
      <c r="N49" s="15">
        <f>'2º TRIMESTRE'!N49</f>
        <v>0</v>
      </c>
      <c r="O49" s="16">
        <f>'2º TRIMESTRE'!O49</f>
        <v>0</v>
      </c>
      <c r="P49" s="57">
        <f>'2º TRIMESTRE'!P49</f>
        <v>3939330.3999999994</v>
      </c>
      <c r="Q49" s="15" t="str">
        <f>'2º TRIMESTRE'!Q49</f>
        <v>4.4.90.39</v>
      </c>
      <c r="R49" s="195">
        <f>'2º TRIMESTRE'!R49+866434.04</f>
        <v>5845103.93</v>
      </c>
      <c r="S49" s="195">
        <v>481778.83</v>
      </c>
      <c r="T49" s="195">
        <f>'2º TRIMESTRE'!T49+S49</f>
        <v>521000.34</v>
      </c>
      <c r="U49" s="195">
        <f>'2º TRIMESTRE'!U49+S49</f>
        <v>5460448.72</v>
      </c>
      <c r="V49" s="15" t="str">
        <f>'2º TRIMESTRE'!V49</f>
        <v>andamento</v>
      </c>
      <c r="W49" s="41"/>
      <c r="X49" s="41"/>
      <c r="Y49" s="41"/>
      <c r="Z49" s="38"/>
    </row>
    <row r="50" spans="1:26" ht="42.75">
      <c r="A50" s="14" t="str">
        <f>'2º TRIMESTRE'!A50</f>
        <v>CONCORRÊNCIA Licitação: 18/2020</v>
      </c>
      <c r="B50" s="14" t="str">
        <f>'2º TRIMESTRE'!B50</f>
        <v>CONTRATACAO DE SERVICOS DE MANUTENCAO PREVENTIVA IMPLANTACAO. REQUALIFICACAO E OU RECAPEAMENTO DE VIAS EM CONCRETO BETUMINOSO USINADO A QUENTE CBUQ DO SISTEMA VIARIO DA CIDADE DO RECIFE LOTE II RPA 2 E 3</v>
      </c>
      <c r="C50" s="14" t="str">
        <f>'2º TRIMESTRE'!C50</f>
        <v>535346/2020  e 599406/2021 e 01/2020</v>
      </c>
      <c r="D50" s="14" t="str">
        <f>'2º TRIMESTRE'!D50</f>
        <v>FINISA e CTTU</v>
      </c>
      <c r="E50" s="16">
        <f>'2º TRIMESTRE'!E50</f>
        <v>139865458.63</v>
      </c>
      <c r="F50" s="16">
        <f>'2º TRIMESTRE'!F50</f>
        <v>0</v>
      </c>
      <c r="G50" s="14" t="str">
        <f>'2º TRIMESTRE'!G50</f>
        <v>00.999.591/0001-52</v>
      </c>
      <c r="H50" s="14" t="str">
        <f>'2º TRIMESTRE'!H50</f>
        <v>AGC CONSTRUTORA E EMPREENDIMENTOS LTDA      </v>
      </c>
      <c r="I50" s="14" t="str">
        <f>'2º TRIMESTRE'!I50</f>
        <v>6-025/21</v>
      </c>
      <c r="J50" s="44">
        <f>'2º TRIMESTRE'!J50</f>
        <v>44370</v>
      </c>
      <c r="K50" s="15">
        <f>'2º TRIMESTRE'!K50</f>
        <v>760</v>
      </c>
      <c r="L50" s="16">
        <f>'2º TRIMESTRE'!L50</f>
        <v>16994062.08</v>
      </c>
      <c r="M50" s="44">
        <f>'2º TRIMESTRE'!M50</f>
        <v>45130</v>
      </c>
      <c r="N50" s="15">
        <f>'2º TRIMESTRE'!N50</f>
        <v>0</v>
      </c>
      <c r="O50" s="16">
        <f>'2º TRIMESTRE'!O50+2879917.65</f>
        <v>4178532.73</v>
      </c>
      <c r="P50" s="57">
        <f>'2º TRIMESTRE'!P50</f>
        <v>2523683.51</v>
      </c>
      <c r="Q50" s="15" t="str">
        <f>'2º TRIMESTRE'!Q50</f>
        <v>4.4.90.39</v>
      </c>
      <c r="R50" s="195">
        <f>'2º TRIMESTRE'!R50+4857174.9</f>
        <v>18788189.53</v>
      </c>
      <c r="S50" s="195">
        <v>2351773.2</v>
      </c>
      <c r="T50" s="195">
        <f>'2º TRIMESTRE'!T50+S50</f>
        <v>7588990.09</v>
      </c>
      <c r="U50" s="195">
        <f>'2º TRIMESTRE'!U50+S50</f>
        <v>15446471.530000001</v>
      </c>
      <c r="V50" s="15" t="str">
        <f>'2º TRIMESTRE'!V50</f>
        <v>andamento</v>
      </c>
      <c r="W50" s="41"/>
      <c r="X50" s="41"/>
      <c r="Y50" s="41"/>
      <c r="Z50" s="38"/>
    </row>
    <row r="51" spans="1:26" ht="42.75">
      <c r="A51" s="14" t="str">
        <f>'2º TRIMESTRE'!A51</f>
        <v>CONCORRÊNCIA Licitação: 18/2020</v>
      </c>
      <c r="B51" s="14" t="str">
        <f>'2º TRIMESTRE'!B51</f>
        <v>CONTRATACAO DE SERVICOS DE MANUTENCAO PREVENTIVA IMPLANTACAO. REQUALIFICACAO E OU RECAPEAMENTO DE VIAS EM CONCRETO BETUMINOSO USINADO A QUENTE CBUQ DO SISTEMA VIARIO DA CIDADE DO RECIFE LOTES III RPA 4 E 5</v>
      </c>
      <c r="C51" s="14" t="str">
        <f>'2º TRIMESTRE'!C51</f>
        <v>535346/2020  e 599406/2021 e 01/2020</v>
      </c>
      <c r="D51" s="14" t="str">
        <f>'2º TRIMESTRE'!D51</f>
        <v>FINISA e CTTU</v>
      </c>
      <c r="E51" s="16">
        <f>'2º TRIMESTRE'!E51</f>
        <v>139865458.63</v>
      </c>
      <c r="F51" s="16">
        <f>'2º TRIMESTRE'!F51</f>
        <v>0</v>
      </c>
      <c r="G51" s="14" t="str">
        <f>'2º TRIMESTRE'!G51</f>
        <v>23.742.620/0001-00</v>
      </c>
      <c r="H51" s="14" t="str">
        <f>'2º TRIMESTRE'!H51</f>
        <v>INSTTALE ENGENHARIA LTDA</v>
      </c>
      <c r="I51" s="14" t="str">
        <f>'2º TRIMESTRE'!I51</f>
        <v>6-026/21</v>
      </c>
      <c r="J51" s="44">
        <f>'2º TRIMESTRE'!J51</f>
        <v>44370</v>
      </c>
      <c r="K51" s="15">
        <f>'2º TRIMESTRE'!K51</f>
        <v>760</v>
      </c>
      <c r="L51" s="16">
        <f>'2º TRIMESTRE'!L51</f>
        <v>21157084.25</v>
      </c>
      <c r="M51" s="44">
        <f>'2º TRIMESTRE'!M51</f>
        <v>45130</v>
      </c>
      <c r="N51" s="15">
        <f>'2º TRIMESTRE'!N51</f>
        <v>0</v>
      </c>
      <c r="O51" s="16">
        <f>'2º TRIMESTRE'!O51</f>
        <v>4678660.85</v>
      </c>
      <c r="P51" s="57">
        <f>'2º TRIMESTRE'!P51</f>
        <v>0</v>
      </c>
      <c r="Q51" s="15" t="str">
        <f>'2º TRIMESTRE'!Q51</f>
        <v>4.4.90.39</v>
      </c>
      <c r="R51" s="195">
        <f>'2º TRIMESTRE'!R51+2882400.26</f>
        <v>17851663.79</v>
      </c>
      <c r="S51" s="195">
        <f>2760195.7+795338.47</f>
        <v>3555534.17</v>
      </c>
      <c r="T51" s="195">
        <f>'2º TRIMESTRE'!T51+S51</f>
        <v>7885868.430000001</v>
      </c>
      <c r="U51" s="195">
        <f>'2º TRIMESTRE'!U51+S51</f>
        <v>17729510.229999997</v>
      </c>
      <c r="V51" s="15" t="str">
        <f>'2º TRIMESTRE'!V51</f>
        <v>andamento</v>
      </c>
      <c r="W51" s="41"/>
      <c r="X51" s="41"/>
      <c r="Y51" s="41"/>
      <c r="Z51" s="38"/>
    </row>
    <row r="52" spans="1:26" ht="42.75">
      <c r="A52" s="14" t="str">
        <f>'2º TRIMESTRE'!A52</f>
        <v>CONCORRÊNCIA Licitação: 18/2020</v>
      </c>
      <c r="B52" s="14" t="str">
        <f>'2º TRIMESTRE'!B52</f>
        <v>CONTRATACAO DE SERVICOS DE MANUTENCAO PREVENTIVA IMPLANTACAO. REQUALIFICACAO E OU RECAPEAMENTO DE VIAS EM CONCRETO BETUMINOSO USINADO A QUENTE CBUQ DO SISTEMA VIARIO DA CIDADE DO RECIFE LOTE IV RPA 6</v>
      </c>
      <c r="C52" s="14" t="str">
        <f>'2º TRIMESTRE'!C52</f>
        <v>535346/2020  e 599406/2021 e 01/2020</v>
      </c>
      <c r="D52" s="14" t="str">
        <f>'2º TRIMESTRE'!D52</f>
        <v>FINISA e CTTU</v>
      </c>
      <c r="E52" s="16">
        <f>'2º TRIMESTRE'!E52</f>
        <v>139865458.63</v>
      </c>
      <c r="F52" s="16">
        <f>'2º TRIMESTRE'!F52</f>
        <v>0</v>
      </c>
      <c r="G52" s="14" t="str">
        <f>'2º TRIMESTRE'!G52</f>
        <v>40.882.060/0001-08</v>
      </c>
      <c r="H52" s="14" t="str">
        <f>'2º TRIMESTRE'!H52</f>
        <v>LIDERMAC CONSTRUCOES E EQUIPAMENTOS LTDA</v>
      </c>
      <c r="I52" s="14" t="str">
        <f>'2º TRIMESTRE'!I52</f>
        <v>6-027/21</v>
      </c>
      <c r="J52" s="44">
        <f>'2º TRIMESTRE'!J52</f>
        <v>44370</v>
      </c>
      <c r="K52" s="15">
        <f>'2º TRIMESTRE'!K52</f>
        <v>760</v>
      </c>
      <c r="L52" s="16">
        <f>'2º TRIMESTRE'!L52</f>
        <v>17242398.46</v>
      </c>
      <c r="M52" s="44">
        <f>'2º TRIMESTRE'!M52</f>
        <v>45130</v>
      </c>
      <c r="N52" s="15">
        <f>'2º TRIMESTRE'!N52</f>
        <v>0</v>
      </c>
      <c r="O52" s="16">
        <f>'2º TRIMESTRE'!O52</f>
        <v>4430000</v>
      </c>
      <c r="P52" s="57">
        <f>'2º TRIMESTRE'!P52</f>
        <v>4878113.98</v>
      </c>
      <c r="Q52" s="15" t="str">
        <f>'2º TRIMESTRE'!Q52</f>
        <v>4.4.90.39</v>
      </c>
      <c r="R52" s="195">
        <f>'2º TRIMESTRE'!R52+4323203.55</f>
        <v>15102169.23</v>
      </c>
      <c r="S52" s="195">
        <v>4422454.25</v>
      </c>
      <c r="T52" s="195">
        <f>'2º TRIMESTRE'!T52+S52</f>
        <v>10124041.82</v>
      </c>
      <c r="U52" s="195">
        <f>'2º TRIMESTRE'!U52+S52</f>
        <v>15094618.93</v>
      </c>
      <c r="V52" s="15" t="str">
        <f>'2º TRIMESTRE'!V52</f>
        <v>andamento</v>
      </c>
      <c r="W52" s="41"/>
      <c r="X52" s="41"/>
      <c r="Y52" s="41"/>
      <c r="Z52" s="38"/>
    </row>
    <row r="53" spans="1:26" ht="31.5">
      <c r="A53" s="14" t="str">
        <f>'2º TRIMESTRE'!A53</f>
        <v>CONCORRÊNCIA Licitação: 16/2020</v>
      </c>
      <c r="B53" s="14" t="str">
        <f>'2º TRIMESTRE'!B53</f>
        <v>EXECUÇÃO DE SERVIÇOS DE REQUALIFICAÇÃO MANUTENÇÃO PREVENTIVA E CORRETIVA DE PRAÇAS, PARQUES E ÁREAS VERDES CANTEIROS DE AVENIDAS E REFÚGIOS DA CIDADE DO RECIFE RPAS 1,2 E 3</v>
      </c>
      <c r="C53" s="14">
        <f>'2º TRIMESTRE'!C53</f>
        <v>0</v>
      </c>
      <c r="D53" s="14">
        <f>'2º TRIMESTRE'!D53</f>
        <v>0</v>
      </c>
      <c r="E53" s="16">
        <f>'2º TRIMESTRE'!E53</f>
        <v>0</v>
      </c>
      <c r="F53" s="16">
        <f>'2º TRIMESTRE'!F53</f>
        <v>0</v>
      </c>
      <c r="G53" s="14" t="str">
        <f>'2º TRIMESTRE'!G53</f>
        <v>05.625.079/0001-60</v>
      </c>
      <c r="H53" s="14" t="str">
        <f>'2º TRIMESTRE'!H53</f>
        <v>CONSTRUTORA MARDIFI LTDA - EPP </v>
      </c>
      <c r="I53" s="14" t="str">
        <f>'2º TRIMESTRE'!I53</f>
        <v>6-028/21</v>
      </c>
      <c r="J53" s="44">
        <f>'2º TRIMESTRE'!J53</f>
        <v>44391</v>
      </c>
      <c r="K53" s="15">
        <f>'2º TRIMESTRE'!K53</f>
        <v>790</v>
      </c>
      <c r="L53" s="16">
        <f>'2º TRIMESTRE'!L53</f>
        <v>5538433.27</v>
      </c>
      <c r="M53" s="44">
        <f>'2º TRIMESTRE'!M53</f>
        <v>45181</v>
      </c>
      <c r="N53" s="15">
        <f>'2º TRIMESTRE'!N53</f>
        <v>0</v>
      </c>
      <c r="O53" s="16">
        <f>'2º TRIMESTRE'!O53</f>
        <v>1123031.08</v>
      </c>
      <c r="P53" s="57">
        <f>'2º TRIMESTRE'!P53</f>
        <v>0</v>
      </c>
      <c r="Q53" s="15" t="str">
        <f>'2º TRIMESTRE'!Q53</f>
        <v>3.3.90.39</v>
      </c>
      <c r="R53" s="195">
        <f>'2º TRIMESTRE'!R53+547958.92</f>
        <v>2023267.4499999997</v>
      </c>
      <c r="S53" s="195">
        <v>547958.92</v>
      </c>
      <c r="T53" s="195">
        <f>'2º TRIMESTRE'!T53+S53</f>
        <v>1555310.1500000001</v>
      </c>
      <c r="U53" s="195">
        <f>'2º TRIMESTRE'!U53+S53</f>
        <v>2023267.4500000002</v>
      </c>
      <c r="V53" s="15" t="str">
        <f>'2º TRIMESTRE'!V53</f>
        <v>andamento</v>
      </c>
      <c r="W53" s="41"/>
      <c r="X53" s="41"/>
      <c r="Y53" s="41"/>
      <c r="Z53" s="38"/>
    </row>
    <row r="54" spans="1:26" ht="31.5">
      <c r="A54" s="14" t="str">
        <f>'2º TRIMESTRE'!A54</f>
        <v>CONCORRÊNCIA Licitação: 16/2020</v>
      </c>
      <c r="B54" s="14" t="str">
        <f>'2º TRIMESTRE'!B54</f>
        <v>EXECUÇÃO DE SERVIÇOS DE REQUALIFICAÇÃO MANUTENÇÃO PREVENTIVA E CORRETIVA DE PRAÇAS, PARQUES E ÁREAS VERDES CANTEIROS DE AVENIDAS E REFÚGIOS DA CIDADE DO RECIFE RPAS 4,5 E 6</v>
      </c>
      <c r="C54" s="14">
        <f>'2º TRIMESTRE'!C54</f>
        <v>0</v>
      </c>
      <c r="D54" s="14">
        <f>'2º TRIMESTRE'!D54</f>
        <v>0</v>
      </c>
      <c r="E54" s="16">
        <f>'2º TRIMESTRE'!E54</f>
        <v>0</v>
      </c>
      <c r="F54" s="16">
        <f>'2º TRIMESTRE'!F54</f>
        <v>0</v>
      </c>
      <c r="G54" s="14" t="str">
        <f>'2º TRIMESTRE'!G54</f>
        <v>10.698.641/0001-15</v>
      </c>
      <c r="H54" s="14" t="str">
        <f>'2º TRIMESTRE'!H54</f>
        <v>CONSTRUTORA MASTER EIRELI ME</v>
      </c>
      <c r="I54" s="14" t="str">
        <f>'2º TRIMESTRE'!I54</f>
        <v>6-029/21</v>
      </c>
      <c r="J54" s="44">
        <f>'2º TRIMESTRE'!J54</f>
        <v>44391</v>
      </c>
      <c r="K54" s="15">
        <f>'2º TRIMESTRE'!K54</f>
        <v>790</v>
      </c>
      <c r="L54" s="16">
        <f>'2º TRIMESTRE'!L54</f>
        <v>6400029.52</v>
      </c>
      <c r="M54" s="44">
        <f>'2º TRIMESTRE'!M54</f>
        <v>45181</v>
      </c>
      <c r="N54" s="15">
        <f>'2º TRIMESTRE'!N54</f>
        <v>0</v>
      </c>
      <c r="O54" s="16">
        <f>'2º TRIMESTRE'!O54</f>
        <v>1599212.75</v>
      </c>
      <c r="P54" s="57">
        <f>'2º TRIMESTRE'!P54</f>
        <v>0</v>
      </c>
      <c r="Q54" s="15" t="str">
        <f>'2º TRIMESTRE'!Q54</f>
        <v>3.3.90.39</v>
      </c>
      <c r="R54" s="195">
        <f>'2º TRIMESTRE'!R54+1112717.22</f>
        <v>3295225.5</v>
      </c>
      <c r="S54" s="195">
        <f>1064700.56+119999.97</f>
        <v>1184700.53</v>
      </c>
      <c r="T54" s="195">
        <f>'2º TRIMESTRE'!T54+S54</f>
        <v>1747231.82</v>
      </c>
      <c r="U54" s="195">
        <f>'2º TRIMESTRE'!U54+S54</f>
        <v>3295225.5</v>
      </c>
      <c r="V54" s="15" t="str">
        <f>'2º TRIMESTRE'!V54</f>
        <v>andamento</v>
      </c>
      <c r="W54" s="41"/>
      <c r="X54" s="41"/>
      <c r="Y54" s="41"/>
      <c r="Z54" s="38"/>
    </row>
    <row r="55" spans="1:26" ht="42.75">
      <c r="A55" s="14" t="str">
        <f>'2º TRIMESTRE'!A55</f>
        <v>Tomada de Preço Licitação: 003/2021</v>
      </c>
      <c r="B55" s="14" t="str">
        <f>'2º TRIMESTRE'!B55</f>
        <v>CONTRATAÇÃO DE EMPRESA DE DE ENGENHARIA ESPECIALIZADA EM ILUMINAÇÃO PUBLICA. PARA INSTALAÇÃO DE LUMINÁRIAS/PROJETORES COM TECNOLOGIA LED NA CIDADE DO RECIFE/PE COM FORNECIMENTO DE ACESSÓRIOS</v>
      </c>
      <c r="C55" s="14" t="str">
        <f>'2º TRIMESTRE'!C55</f>
        <v>532561/2020</v>
      </c>
      <c r="D55" s="14" t="str">
        <f>'2º TRIMESTRE'!D55</f>
        <v>FINISA</v>
      </c>
      <c r="E55" s="16">
        <f>'2º TRIMESTRE'!E55</f>
        <v>50000000</v>
      </c>
      <c r="F55" s="16">
        <f>'2º TRIMESTRE'!F55</f>
        <v>0</v>
      </c>
      <c r="G55" s="14" t="str">
        <f>'2º TRIMESTRE'!G55</f>
        <v>01.346.561/0001-00</v>
      </c>
      <c r="H55" s="14" t="str">
        <f>'2º TRIMESTRE'!H55</f>
        <v>VASCONCELOS E SANTOS LTDA</v>
      </c>
      <c r="I55" s="14" t="str">
        <f>'2º TRIMESTRE'!I55</f>
        <v>6-037/21</v>
      </c>
      <c r="J55" s="44">
        <f>'2º TRIMESTRE'!J55</f>
        <v>44495</v>
      </c>
      <c r="K55" s="15">
        <f>'2º TRIMESTRE'!K55</f>
        <v>395</v>
      </c>
      <c r="L55" s="16">
        <f>'2º TRIMESTRE'!L55</f>
        <v>1048809.4</v>
      </c>
      <c r="M55" s="44">
        <f>'2º TRIMESTRE'!M55</f>
        <v>44890</v>
      </c>
      <c r="N55" s="15">
        <f>'2º TRIMESTRE'!N55</f>
        <v>0</v>
      </c>
      <c r="O55" s="16">
        <f>'2º TRIMESTRE'!O55</f>
        <v>251613.71</v>
      </c>
      <c r="P55" s="57">
        <f>'2º TRIMESTRE'!P55</f>
        <v>0</v>
      </c>
      <c r="Q55" s="15" t="str">
        <f>'2º TRIMESTRE'!Q55</f>
        <v>4.4.90.39</v>
      </c>
      <c r="R55" s="195">
        <f>'2º TRIMESTRE'!R55+69014.05</f>
        <v>857505.39</v>
      </c>
      <c r="S55" s="195">
        <v>69014.05</v>
      </c>
      <c r="T55" s="195">
        <f>'2º TRIMESTRE'!T55+S55</f>
        <v>530369.27</v>
      </c>
      <c r="U55" s="195">
        <f>'2º TRIMESTRE'!U55+S55</f>
        <v>857505.3900000001</v>
      </c>
      <c r="V55" s="15" t="str">
        <f>'2º TRIMESTRE'!V55</f>
        <v>andamento</v>
      </c>
      <c r="W55" s="41"/>
      <c r="X55" s="41"/>
      <c r="Y55" s="41"/>
      <c r="Z55" s="38"/>
    </row>
    <row r="56" spans="1:26" ht="42.75">
      <c r="A56" s="14" t="str">
        <f>'2º TRIMESTRE'!A56</f>
        <v>Tomada de Preço Licitação: 004/2021</v>
      </c>
      <c r="B56" s="14" t="str">
        <f>'2º TRIMESTRE'!B56</f>
        <v>CONTRATACAO DE EMPRESA DE ENGENHARIA PARA PRESTACAO DOS SERVICOS DE MANUTENCAO DO ENROCAMENTO DE PEDRAS DA PROTECAO EXISTENTE NA ORLA DE BOA VIAGEM</v>
      </c>
      <c r="C56" s="14">
        <f>'2º TRIMESTRE'!C56</f>
        <v>0</v>
      </c>
      <c r="D56" s="14">
        <f>'2º TRIMESTRE'!D56</f>
        <v>0</v>
      </c>
      <c r="E56" s="16">
        <f>'2º TRIMESTRE'!E56</f>
        <v>0</v>
      </c>
      <c r="F56" s="16">
        <f>'2º TRIMESTRE'!F56</f>
        <v>0</v>
      </c>
      <c r="G56" s="14" t="str">
        <f>'2º TRIMESTRE'!G56</f>
        <v>70.086.111/0001-48</v>
      </c>
      <c r="H56" s="14" t="str">
        <f>'2º TRIMESTRE'!H56</f>
        <v>COASTAL - CONSTRUÇÕES E SOLUÇÕES TÉCNICAS AMBIENTAIS EIRELI</v>
      </c>
      <c r="I56" s="14" t="str">
        <f>'2º TRIMESTRE'!I56</f>
        <v>6-039/21</v>
      </c>
      <c r="J56" s="44">
        <f>'2º TRIMESTRE'!J56</f>
        <v>44455</v>
      </c>
      <c r="K56" s="15">
        <f>'2º TRIMESTRE'!K56</f>
        <v>455</v>
      </c>
      <c r="L56" s="16">
        <f>'2º TRIMESTRE'!L56</f>
        <v>1460562.75</v>
      </c>
      <c r="M56" s="44">
        <f>'2º TRIMESTRE'!M56</f>
        <v>44910</v>
      </c>
      <c r="N56" s="15">
        <f>'2º TRIMESTRE'!N56</f>
        <v>0</v>
      </c>
      <c r="O56" s="16">
        <f>'2º TRIMESTRE'!O56+114194.23</f>
        <v>339396.62</v>
      </c>
      <c r="P56" s="57">
        <f>'2º TRIMESTRE'!P56</f>
        <v>0</v>
      </c>
      <c r="Q56" s="15" t="str">
        <f>'2º TRIMESTRE'!Q56</f>
        <v>3.3.90.39</v>
      </c>
      <c r="R56" s="195">
        <f>'2º TRIMESTRE'!R56+453792.81</f>
        <v>1455714.9700000002</v>
      </c>
      <c r="S56" s="195">
        <v>453792.81</v>
      </c>
      <c r="T56" s="196">
        <f>'2º TRIMESTRE'!T56+S56</f>
        <v>1105078.19</v>
      </c>
      <c r="U56" s="195">
        <f>'2º TRIMESTRE'!U56+S56</f>
        <v>1455714.9700000002</v>
      </c>
      <c r="V56" s="15" t="str">
        <f>'2º TRIMESTRE'!V56</f>
        <v>andamento</v>
      </c>
      <c r="W56" s="41"/>
      <c r="X56" s="41"/>
      <c r="Y56" s="41"/>
      <c r="Z56" s="38"/>
    </row>
    <row r="57" spans="1:26" ht="31.5">
      <c r="A57" s="14" t="str">
        <f>'2º TRIMESTRE'!A57</f>
        <v>Concorrência Licitação: 009/2021</v>
      </c>
      <c r="B57" s="14" t="str">
        <f>'2º TRIMESTRE'!B57</f>
        <v>EXECUÇÃO DE SERVIÇOS DE RECUPERAÇÃO DE PASSARELAS, PONTILHÕES E ELEMENTOS LIMITADORES DE ESPAÇO OU PROTEÇÃO NAS DIVERSAS RPAS DA CIDADE DO RECIFE</v>
      </c>
      <c r="C57" s="14">
        <f>'2º TRIMESTRE'!C57</f>
        <v>0</v>
      </c>
      <c r="D57" s="14">
        <f>'2º TRIMESTRE'!D57</f>
        <v>0</v>
      </c>
      <c r="E57" s="16">
        <f>'2º TRIMESTRE'!E57</f>
        <v>0</v>
      </c>
      <c r="F57" s="16">
        <f>'2º TRIMESTRE'!F57</f>
        <v>0</v>
      </c>
      <c r="G57" s="14" t="str">
        <f>'2º TRIMESTRE'!G57</f>
        <v>10.811.370/0001-62</v>
      </c>
      <c r="H57" s="14" t="str">
        <f>'2º TRIMESTRE'!H57</f>
        <v>GUERRA CONSTRUCOES LTDA</v>
      </c>
      <c r="I57" s="14" t="str">
        <f>'2º TRIMESTRE'!I57</f>
        <v>6-042/21</v>
      </c>
      <c r="J57" s="44">
        <f>'2º TRIMESTRE'!J57</f>
        <v>44516</v>
      </c>
      <c r="K57" s="15">
        <f>'2º TRIMESTRE'!K57</f>
        <v>790</v>
      </c>
      <c r="L57" s="16">
        <f>'2º TRIMESTRE'!L57</f>
        <v>4874717.78</v>
      </c>
      <c r="M57" s="44">
        <f>'2º TRIMESTRE'!M57</f>
        <v>45306</v>
      </c>
      <c r="N57" s="15">
        <f>'2º TRIMESTRE'!N57</f>
        <v>0</v>
      </c>
      <c r="O57" s="16">
        <f>'2º TRIMESTRE'!O57+391425.68</f>
        <v>1218573.59</v>
      </c>
      <c r="P57" s="57">
        <f>'2º TRIMESTRE'!P57</f>
        <v>0</v>
      </c>
      <c r="Q57" s="15" t="str">
        <f>'2º TRIMESTRE'!Q57</f>
        <v>3.3.90.39</v>
      </c>
      <c r="R57" s="195">
        <f>'2º TRIMESTRE'!R57+1066867.05</f>
        <v>4279959.52</v>
      </c>
      <c r="S57" s="195">
        <v>1559515.18</v>
      </c>
      <c r="T57" s="195">
        <f>'2º TRIMESTRE'!T57+S57</f>
        <v>2902603.32</v>
      </c>
      <c r="U57" s="195">
        <f>'2º TRIMESTRE'!U57+S57</f>
        <v>4051238.3099999996</v>
      </c>
      <c r="V57" s="15" t="str">
        <f>'2º TRIMESTRE'!V57</f>
        <v>andamento</v>
      </c>
      <c r="W57" s="41"/>
      <c r="X57" s="41"/>
      <c r="Y57" s="41"/>
      <c r="Z57" s="38"/>
    </row>
    <row r="58" spans="1:26" ht="21">
      <c r="A58" s="14" t="str">
        <f>'2º TRIMESTRE'!A58</f>
        <v>DISP 004/2021</v>
      </c>
      <c r="B58" s="14" t="str">
        <f>'2º TRIMESTRE'!B58</f>
        <v>CONTRATACAO DE SERVICOS EM CARATER EMERGENCIAL DE COLETA E LIMPEZA URBANA - LOTE 2</v>
      </c>
      <c r="C58" s="14">
        <f>'2º TRIMESTRE'!C58</f>
        <v>0</v>
      </c>
      <c r="D58" s="14">
        <f>'2º TRIMESTRE'!D58</f>
        <v>0</v>
      </c>
      <c r="E58" s="16">
        <f>'2º TRIMESTRE'!E58</f>
        <v>0</v>
      </c>
      <c r="F58" s="16">
        <f>'2º TRIMESTRE'!F58</f>
        <v>0</v>
      </c>
      <c r="G58" s="14" t="str">
        <f>'2º TRIMESTRE'!G58</f>
        <v>02.536.066/0015-21</v>
      </c>
      <c r="H58" s="14" t="str">
        <f>'2º TRIMESTRE'!H58</f>
        <v>VITAL ENGENHARIA AMBIENTAL S/A</v>
      </c>
      <c r="I58" s="14" t="str">
        <f>'2º TRIMESTRE'!I58</f>
        <v>6-044/21</v>
      </c>
      <c r="J58" s="44">
        <f>'2º TRIMESTRE'!J58</f>
        <v>44469</v>
      </c>
      <c r="K58" s="15">
        <f>'2º TRIMESTRE'!K58</f>
        <v>180</v>
      </c>
      <c r="L58" s="16">
        <f>'2º TRIMESTRE'!L58</f>
        <v>76577831.53</v>
      </c>
      <c r="M58" s="44">
        <f>'2º TRIMESTRE'!M58</f>
        <v>44649</v>
      </c>
      <c r="N58" s="15">
        <f>'2º TRIMESTRE'!N58</f>
        <v>0</v>
      </c>
      <c r="O58" s="16">
        <f>'2º TRIMESTRE'!O58</f>
        <v>0</v>
      </c>
      <c r="P58" s="57">
        <f>'2º TRIMESTRE'!P58</f>
        <v>4813284.33</v>
      </c>
      <c r="Q58" s="15" t="str">
        <f>'2º TRIMESTRE'!Q58</f>
        <v>3.3.90.39</v>
      </c>
      <c r="R58" s="195">
        <f>'2º TRIMESTRE'!R58+501023.71</f>
        <v>75302394.27999999</v>
      </c>
      <c r="S58" s="195">
        <v>0</v>
      </c>
      <c r="T58" s="195">
        <f>'2º TRIMESTRE'!T58+S58</f>
        <v>46567923.99999999</v>
      </c>
      <c r="U58" s="195">
        <f>'2º TRIMESTRE'!U58+S58</f>
        <v>74004719.57</v>
      </c>
      <c r="V58" s="15" t="str">
        <f>'2º TRIMESTRE'!V58</f>
        <v>andamento</v>
      </c>
      <c r="W58" s="41"/>
      <c r="X58" s="188"/>
      <c r="Y58" s="41"/>
      <c r="Z58" s="38"/>
    </row>
    <row r="59" spans="1:26" ht="42.75">
      <c r="A59" s="14" t="str">
        <f>'2º TRIMESTRE'!A59</f>
        <v>Pregão Eletrônico Licitação: 031/2021</v>
      </c>
      <c r="B59" s="14" t="str">
        <f>'2º TRIMESTRE'!B59</f>
        <v>CONTRATAÇÃO DE EMPRESA DE ENGENHARIA NA ÁREA DE GEOTÉCNIA PARA ENSAIO DE PENETRAÇÃO DE UM CONE ESTÁTICO DE AÇO COM MEDIDAS DE PRESSÕES NEUTRAS CPTU CONFORME PROCEDIMENTOS DA NORMA ASTM D 5778 95</v>
      </c>
      <c r="C59" s="14">
        <f>'2º TRIMESTRE'!C59</f>
        <v>0</v>
      </c>
      <c r="D59" s="14">
        <f>'2º TRIMESTRE'!D59</f>
        <v>0</v>
      </c>
      <c r="E59" s="16">
        <f>'2º TRIMESTRE'!E59</f>
        <v>0</v>
      </c>
      <c r="F59" s="16">
        <f>'2º TRIMESTRE'!F59</f>
        <v>0</v>
      </c>
      <c r="G59" s="14" t="str">
        <f>'2º TRIMESTRE'!G59</f>
        <v>18.968.880/0001-50</v>
      </c>
      <c r="H59" s="14" t="str">
        <f>'2º TRIMESTRE'!H59</f>
        <v>A1MC PROJETOS LTDA</v>
      </c>
      <c r="I59" s="14" t="str">
        <f>'2º TRIMESTRE'!I59</f>
        <v>6-045/21</v>
      </c>
      <c r="J59" s="44">
        <f>'2º TRIMESTRE'!J59</f>
        <v>44523</v>
      </c>
      <c r="K59" s="15">
        <f>'2º TRIMESTRE'!K59</f>
        <v>60</v>
      </c>
      <c r="L59" s="16">
        <f>'2º TRIMESTRE'!L59</f>
        <v>100000</v>
      </c>
      <c r="M59" s="44">
        <f>'2º TRIMESTRE'!M59</f>
        <v>44583</v>
      </c>
      <c r="N59" s="15">
        <f>'2º TRIMESTRE'!N59</f>
        <v>0</v>
      </c>
      <c r="O59" s="16">
        <f>'2º TRIMESTRE'!O59</f>
        <v>8966.94</v>
      </c>
      <c r="P59" s="57">
        <f>'2º TRIMESTRE'!P59</f>
        <v>0</v>
      </c>
      <c r="Q59" s="15" t="str">
        <f>'2º TRIMESTRE'!Q59</f>
        <v>3.3.90.39</v>
      </c>
      <c r="R59" s="195">
        <f>'2º TRIMESTRE'!R59</f>
        <v>108966.93000000001</v>
      </c>
      <c r="S59" s="195">
        <v>0</v>
      </c>
      <c r="T59" s="195">
        <f>'2º TRIMESTRE'!T59+S59</f>
        <v>45018.95</v>
      </c>
      <c r="U59" s="195">
        <f>'2º TRIMESTRE'!U59+S59</f>
        <v>108966.93</v>
      </c>
      <c r="V59" s="15" t="str">
        <f>'2º TRIMESTRE'!V59</f>
        <v>encerrado</v>
      </c>
      <c r="W59" s="41"/>
      <c r="X59" s="41"/>
      <c r="Y59" s="41"/>
      <c r="Z59" s="38"/>
    </row>
    <row r="60" spans="1:26" ht="31.5">
      <c r="A60" s="14" t="str">
        <f>'2º TRIMESTRE'!A60</f>
        <v>DISP 003/2021</v>
      </c>
      <c r="B60" s="14" t="str">
        <f>'2º TRIMESTRE'!B60</f>
        <v>CONTRATACAO DE SERVICO. EM CARATER EMERGENCIAL. DE COLETA E LIMPEZA URBANA LOTE 1</v>
      </c>
      <c r="C60" s="14">
        <f>'2º TRIMESTRE'!C60</f>
        <v>0</v>
      </c>
      <c r="D60" s="14">
        <f>'2º TRIMESTRE'!D60</f>
        <v>0</v>
      </c>
      <c r="E60" s="16">
        <f>'2º TRIMESTRE'!E60</f>
        <v>0</v>
      </c>
      <c r="F60" s="16">
        <f>'2º TRIMESTRE'!F60</f>
        <v>0</v>
      </c>
      <c r="G60" s="14" t="str">
        <f>'2º TRIMESTRE'!G60</f>
        <v>12.854.865/0001-02</v>
      </c>
      <c r="H60" s="14" t="str">
        <f>'2º TRIMESTRE'!H60</f>
        <v>COELHO DE  ANDRADE ENGENHARIA LTDA</v>
      </c>
      <c r="I60" s="14" t="str">
        <f>'2º TRIMESTRE'!I60</f>
        <v>6-048/21</v>
      </c>
      <c r="J60" s="44">
        <f>'2º TRIMESTRE'!J60</f>
        <v>44469</v>
      </c>
      <c r="K60" s="15">
        <f>'2º TRIMESTRE'!K60</f>
        <v>180</v>
      </c>
      <c r="L60" s="16">
        <f>'2º TRIMESTRE'!L60</f>
        <v>26846364.45</v>
      </c>
      <c r="M60" s="44">
        <f>'2º TRIMESTRE'!M60</f>
        <v>44649</v>
      </c>
      <c r="N60" s="15">
        <f>'2º TRIMESTRE'!N60</f>
        <v>0</v>
      </c>
      <c r="O60" s="16">
        <f>'2º TRIMESTRE'!O60</f>
        <v>0</v>
      </c>
      <c r="P60" s="57">
        <f>'2º TRIMESTRE'!P60</f>
        <v>1905664.26</v>
      </c>
      <c r="Q60" s="15" t="str">
        <f>'2º TRIMESTRE'!Q60</f>
        <v>3.3.90.39</v>
      </c>
      <c r="R60" s="195">
        <f>'2º TRIMESTRE'!R60+130191.47</f>
        <v>25481657.27</v>
      </c>
      <c r="S60" s="195">
        <v>0</v>
      </c>
      <c r="T60" s="195">
        <f>'2º TRIMESTRE'!T60+S60</f>
        <v>13053855.730000002</v>
      </c>
      <c r="U60" s="195">
        <f>'2º TRIMESTRE'!U60+S60</f>
        <v>24990165.110000003</v>
      </c>
      <c r="V60" s="15" t="str">
        <f>'2º TRIMESTRE'!V60</f>
        <v>andamento</v>
      </c>
      <c r="W60" s="41"/>
      <c r="X60" s="188"/>
      <c r="Y60" s="41"/>
      <c r="Z60" s="38"/>
    </row>
    <row r="61" spans="1:26" ht="31.5">
      <c r="A61" s="14" t="str">
        <f>'2º TRIMESTRE'!A61</f>
        <v>PREGÃO ELETRÔNICO Licitação: 26/2021</v>
      </c>
      <c r="B61" s="14" t="str">
        <f>'2º TRIMESTRE'!B61</f>
        <v>CONTRATAÇÃO DE EMPRESA ESPECIALIZADA EM ENGENHARIA SANITÁRIA PARA A EXECUÇÃO DOS SERVIÇOS DE COLETA E LIMPEZA URBANA NO MUNICÍPIO DO RECIFE</v>
      </c>
      <c r="C61" s="14">
        <f>'2º TRIMESTRE'!C61</f>
        <v>0</v>
      </c>
      <c r="D61" s="14">
        <f>'2º TRIMESTRE'!D61</f>
        <v>0</v>
      </c>
      <c r="E61" s="16">
        <f>'2º TRIMESTRE'!E61</f>
        <v>0</v>
      </c>
      <c r="F61" s="16">
        <f>'2º TRIMESTRE'!F61</f>
        <v>0</v>
      </c>
      <c r="G61" s="14" t="str">
        <f>'2º TRIMESTRE'!G61</f>
        <v>40.884.405/0001-54</v>
      </c>
      <c r="H61" s="14" t="str">
        <f>'2º TRIMESTRE'!H61</f>
        <v>LOQUIPE LOCACAO DE EQUIPAMENTOS E MAO DE OBRA LTDA</v>
      </c>
      <c r="I61" s="14" t="str">
        <f>'2º TRIMESTRE'!I61</f>
        <v>6-053/21</v>
      </c>
      <c r="J61" s="44">
        <f>'2º TRIMESTRE'!J61</f>
        <v>44530</v>
      </c>
      <c r="K61" s="15">
        <f>'2º TRIMESTRE'!K61</f>
        <v>1920</v>
      </c>
      <c r="L61" s="16">
        <f>'2º TRIMESTRE'!L61</f>
        <v>133146086.4</v>
      </c>
      <c r="M61" s="44">
        <f>'2º TRIMESTRE'!M61</f>
        <v>46450</v>
      </c>
      <c r="N61" s="15">
        <f>'2º TRIMESTRE'!N61</f>
        <v>0</v>
      </c>
      <c r="O61" s="16">
        <f>'2º TRIMESTRE'!O61</f>
        <v>0</v>
      </c>
      <c r="P61" s="57">
        <f>'2º TRIMESTRE'!P61</f>
        <v>28492880.4</v>
      </c>
      <c r="Q61" s="15" t="str">
        <f>'2º TRIMESTRE'!Q61</f>
        <v>3.3.90.39</v>
      </c>
      <c r="R61" s="195">
        <f>'2º TRIMESTRE'!R61+8160058.98</f>
        <v>15355391.790000001</v>
      </c>
      <c r="S61" s="195">
        <v>8735418.69</v>
      </c>
      <c r="T61" s="195">
        <f>'2º TRIMESTRE'!T61+S61</f>
        <v>15355391.79</v>
      </c>
      <c r="U61" s="195">
        <f>'2º TRIMESTRE'!U61+S61</f>
        <v>15355391.79</v>
      </c>
      <c r="V61" s="15" t="str">
        <f>'2º TRIMESTRE'!V61</f>
        <v>andamento</v>
      </c>
      <c r="W61" s="41"/>
      <c r="X61" s="41"/>
      <c r="Y61" s="41"/>
      <c r="Z61" s="38"/>
    </row>
    <row r="62" spans="1:26" ht="42.75">
      <c r="A62" s="14" t="str">
        <f>'2º TRIMESTRE'!A62</f>
        <v>Pregão Eletrônico Licitação: 032/2021</v>
      </c>
      <c r="B62" s="14" t="str">
        <f>'2º TRIMESTRE'!B62</f>
        <v>CONTRATAÇÃO DE EMPRESA ESPECIALIZADA NA PRESTAÇÃO DE SERVIÇOS CONTÍNUOS DE PAISAGISMO E CONSERVAÇÃO PREVENTIVA E CORRETIVA DE PARQUES, PRAÇAS, JARDINS E ÁREAS VERDES PÚBLICAS NA CIDADE DO RECIFE - LOTE 01</v>
      </c>
      <c r="C62" s="14">
        <f>'2º TRIMESTRE'!C62</f>
        <v>0</v>
      </c>
      <c r="D62" s="14">
        <f>'2º TRIMESTRE'!D62</f>
        <v>0</v>
      </c>
      <c r="E62" s="16">
        <f>'2º TRIMESTRE'!E62</f>
        <v>0</v>
      </c>
      <c r="F62" s="16">
        <f>'2º TRIMESTRE'!F62</f>
        <v>0</v>
      </c>
      <c r="G62" s="14" t="str">
        <f>'2º TRIMESTRE'!G62</f>
        <v>08.963.533/0001-80</v>
      </c>
      <c r="H62" s="14" t="str">
        <f>'2º TRIMESTRE'!H62</f>
        <v>FAR COMERCIO E SERVIÇOS PAISAGISTICOS LTDA</v>
      </c>
      <c r="I62" s="14" t="str">
        <f>'2º TRIMESTRE'!I62</f>
        <v>6-056/21</v>
      </c>
      <c r="J62" s="44">
        <f>'2º TRIMESTRE'!J62</f>
        <v>44531</v>
      </c>
      <c r="K62" s="15">
        <f>'2º TRIMESTRE'!K62</f>
        <v>760</v>
      </c>
      <c r="L62" s="16">
        <f>'2º TRIMESTRE'!L62</f>
        <v>3696587.52</v>
      </c>
      <c r="M62" s="44">
        <f>'2º TRIMESTRE'!M62</f>
        <v>45291</v>
      </c>
      <c r="N62" s="15">
        <f>'2º TRIMESTRE'!N62</f>
        <v>0</v>
      </c>
      <c r="O62" s="16">
        <f>'2º TRIMESTRE'!O62</f>
        <v>0</v>
      </c>
      <c r="P62" s="57">
        <f>'2º TRIMESTRE'!P62</f>
        <v>0</v>
      </c>
      <c r="Q62" s="15" t="str">
        <f>'2º TRIMESTRE'!Q62</f>
        <v>3.3.90.39</v>
      </c>
      <c r="R62" s="195">
        <f>'2º TRIMESTRE'!R62+462073.44</f>
        <v>1339249.04</v>
      </c>
      <c r="S62" s="195">
        <v>462073.44</v>
      </c>
      <c r="T62" s="195">
        <f>'2º TRIMESTRE'!T62+S62</f>
        <v>1307677.24</v>
      </c>
      <c r="U62" s="195">
        <f>'2º TRIMESTRE'!U62+S62</f>
        <v>1339249.04</v>
      </c>
      <c r="V62" s="15" t="str">
        <f>'2º TRIMESTRE'!V62</f>
        <v>andamento</v>
      </c>
      <c r="W62" s="41"/>
      <c r="X62" s="41"/>
      <c r="Y62" s="41"/>
      <c r="Z62" s="38"/>
    </row>
    <row r="63" spans="1:26" ht="42.75">
      <c r="A63" s="14" t="str">
        <f>'2º TRIMESTRE'!A63</f>
        <v>Pregão Eletrônico Licitação: 032/2021</v>
      </c>
      <c r="B63" s="14" t="str">
        <f>'2º TRIMESTRE'!B63</f>
        <v>CONTRATAÇÃO DE EMPRESA ESPECIALIZADA NA PRESTAÇÃO DE SERVIÇOS CONTÍNUOS DE PAISAGISMO E CONSERVAÇÃO PREVENTIVA E CORRETIVA DE PARQUES, PRAÇAS, JARDINS E ÁREAS VERDES PÚBLICOS NA CIDADE DO RECIFE - LOTE 02</v>
      </c>
      <c r="C63" s="14">
        <f>'2º TRIMESTRE'!C63</f>
        <v>0</v>
      </c>
      <c r="D63" s="14">
        <f>'2º TRIMESTRE'!D63</f>
        <v>0</v>
      </c>
      <c r="E63" s="16">
        <f>'2º TRIMESTRE'!E63</f>
        <v>0</v>
      </c>
      <c r="F63" s="16">
        <f>'2º TRIMESTRE'!F63</f>
        <v>0</v>
      </c>
      <c r="G63" s="14" t="str">
        <f>'2º TRIMESTRE'!G63</f>
        <v>08.963.533/0001-80</v>
      </c>
      <c r="H63" s="14" t="str">
        <f>'2º TRIMESTRE'!H63</f>
        <v>FAR COMERCIO E SERVIÇOS PAISAGISTICOS LTDA</v>
      </c>
      <c r="I63" s="14" t="str">
        <f>'2º TRIMESTRE'!I63</f>
        <v>6-057/21</v>
      </c>
      <c r="J63" s="44">
        <f>'2º TRIMESTRE'!J63</f>
        <v>44532</v>
      </c>
      <c r="K63" s="15">
        <f>'2º TRIMESTRE'!K63</f>
        <v>760</v>
      </c>
      <c r="L63" s="16">
        <f>'2º TRIMESTRE'!L63</f>
        <v>3380477.52</v>
      </c>
      <c r="M63" s="44">
        <f>'2º TRIMESTRE'!M63</f>
        <v>45292</v>
      </c>
      <c r="N63" s="15">
        <f>'2º TRIMESTRE'!N63</f>
        <v>0</v>
      </c>
      <c r="O63" s="16">
        <f>'2º TRIMESTRE'!O63+255909.3</f>
        <v>255909.3</v>
      </c>
      <c r="P63" s="57">
        <f>'2º TRIMESTRE'!P63</f>
        <v>0</v>
      </c>
      <c r="Q63" s="15" t="str">
        <f>'2º TRIMESTRE'!Q63</f>
        <v>3.3.90.39</v>
      </c>
      <c r="R63" s="195">
        <f>'2º TRIMESTRE'!R63+422559.69</f>
        <v>1267083.3699999999</v>
      </c>
      <c r="S63" s="195">
        <v>422559.69</v>
      </c>
      <c r="T63" s="195">
        <f>'2º TRIMESTRE'!T63+S63</f>
        <v>1207513.91</v>
      </c>
      <c r="U63" s="195">
        <f>'2º TRIMESTRE'!U63+S63</f>
        <v>1267083.3699999999</v>
      </c>
      <c r="V63" s="15" t="str">
        <f>'2º TRIMESTRE'!V63</f>
        <v>andamento</v>
      </c>
      <c r="W63" s="41"/>
      <c r="X63" s="41"/>
      <c r="Y63" s="41"/>
      <c r="Z63" s="38"/>
    </row>
    <row r="64" spans="1:26" ht="31.5">
      <c r="A64" s="14" t="str">
        <f>'2º TRIMESTRE'!A64</f>
        <v>PREGÃO ELETRÔNICO Licitação: 21/2021</v>
      </c>
      <c r="B64" s="14" t="str">
        <f>'2º TRIMESTRE'!B64</f>
        <v>SERVIÇOS DE REFORMA NAS DEPENDÊNCIAS DO CENTRO DE COMPOSTAGEM, LOCALIZADO NO CURADO - PE</v>
      </c>
      <c r="C64" s="14">
        <f>'2º TRIMESTRE'!C64</f>
        <v>0</v>
      </c>
      <c r="D64" s="14">
        <f>'2º TRIMESTRE'!D64</f>
        <v>0</v>
      </c>
      <c r="E64" s="16">
        <f>'2º TRIMESTRE'!E64</f>
        <v>0</v>
      </c>
      <c r="F64" s="16">
        <f>'2º TRIMESTRE'!F64</f>
        <v>0</v>
      </c>
      <c r="G64" s="14" t="str">
        <f>'2º TRIMESTRE'!G64</f>
        <v>41.116.138/0001-38</v>
      </c>
      <c r="H64" s="14" t="str">
        <f>'2º TRIMESTRE'!H64</f>
        <v>REAL ENERGY LTDA</v>
      </c>
      <c r="I64" s="14" t="str">
        <f>'2º TRIMESTRE'!I64</f>
        <v>6-033/21</v>
      </c>
      <c r="J64" s="44">
        <f>'2º TRIMESTRE'!J64</f>
        <v>44517</v>
      </c>
      <c r="K64" s="15">
        <f>'2º TRIMESTRE'!K64</f>
        <v>90</v>
      </c>
      <c r="L64" s="16">
        <f>'2º TRIMESTRE'!L64</f>
        <v>138202.17</v>
      </c>
      <c r="M64" s="44">
        <f>'2º TRIMESTRE'!M64</f>
        <v>44607</v>
      </c>
      <c r="N64" s="15">
        <f>'2º TRIMESTRE'!N64</f>
        <v>0</v>
      </c>
      <c r="O64" s="16">
        <f>'2º TRIMESTRE'!O64</f>
        <v>0</v>
      </c>
      <c r="P64" s="57">
        <f>'2º TRIMESTRE'!P64</f>
        <v>0</v>
      </c>
      <c r="Q64" s="15" t="str">
        <f>'2º TRIMESTRE'!Q64</f>
        <v>3.3.90.39</v>
      </c>
      <c r="R64" s="195">
        <f>'2º TRIMESTRE'!R64</f>
        <v>117656.25</v>
      </c>
      <c r="S64" s="195">
        <v>0</v>
      </c>
      <c r="T64" s="195">
        <f>'2º TRIMESTRE'!T64+S64</f>
        <v>117656.25</v>
      </c>
      <c r="U64" s="195">
        <f>'2º TRIMESTRE'!U64+S64</f>
        <v>117656.25</v>
      </c>
      <c r="V64" s="15" t="str">
        <f>'2º TRIMESTRE'!V64</f>
        <v>encerrado</v>
      </c>
      <c r="W64" s="41"/>
      <c r="X64" s="41"/>
      <c r="Y64" s="41"/>
      <c r="Z64" s="38"/>
    </row>
    <row r="65" spans="1:26" ht="53.25">
      <c r="A65" s="14" t="str">
        <f>'2º TRIMESTRE'!A65</f>
        <v>CONCORRÊNCIA Licitação: 006/2021</v>
      </c>
      <c r="B65" s="14" t="str">
        <f>'2º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14" t="str">
        <f>'2º TRIMESTRE'!C65</f>
        <v> 892570/2019</v>
      </c>
      <c r="D65" s="14" t="str">
        <f>'2º TRIMESTRE'!D65</f>
        <v>Emenda Parlamentar Federal</v>
      </c>
      <c r="E65" s="16">
        <f>'2º TRIMESTRE'!E65</f>
        <v>3820000</v>
      </c>
      <c r="F65" s="16">
        <f>'2º TRIMESTRE'!F65</f>
        <v>8000</v>
      </c>
      <c r="G65" s="14" t="str">
        <f>'2º TRIMESTRE'!G65</f>
        <v>02.724.778/0001-79</v>
      </c>
      <c r="H65" s="14" t="str">
        <f>'2º TRIMESTRE'!H65</f>
        <v>UNITERRA - UNIAO TERRAPLENAGEM E CONSTRUCOES LTDA</v>
      </c>
      <c r="I65" s="14" t="str">
        <f>'2º TRIMESTRE'!I65</f>
        <v>6-035/21</v>
      </c>
      <c r="J65" s="44">
        <f>'2º TRIMESTRE'!J65</f>
        <v>44456</v>
      </c>
      <c r="K65" s="15">
        <f>'2º TRIMESTRE'!K65</f>
        <v>210</v>
      </c>
      <c r="L65" s="16">
        <f>'2º TRIMESTRE'!L65</f>
        <v>2111167.85</v>
      </c>
      <c r="M65" s="44">
        <f>'2º TRIMESTRE'!M65</f>
        <v>44822</v>
      </c>
      <c r="N65" s="15">
        <f>'2º TRIMESTRE'!N65+120</f>
        <v>216</v>
      </c>
      <c r="O65" s="16">
        <f>'2º TRIMESTRE'!O65</f>
        <v>0</v>
      </c>
      <c r="P65" s="57">
        <f>'2º TRIMESTRE'!P65</f>
        <v>-1342.84</v>
      </c>
      <c r="Q65" s="15" t="str">
        <f>'2º TRIMESTRE'!Q65</f>
        <v>4.4.90.39</v>
      </c>
      <c r="R65" s="195">
        <f>'2º TRIMESTRE'!R65+155305.07</f>
        <v>724875.55</v>
      </c>
      <c r="S65" s="195">
        <v>499606.08</v>
      </c>
      <c r="T65" s="195">
        <f>'2º TRIMESTRE'!T65+S65</f>
        <v>499606.08</v>
      </c>
      <c r="U65" s="195">
        <f>'2º TRIMESTRE'!U65+S65</f>
        <v>499606.08</v>
      </c>
      <c r="V65" s="15" t="str">
        <f>'2º TRIMESTRE'!V65</f>
        <v>andamento</v>
      </c>
      <c r="W65" s="41"/>
      <c r="X65" s="41"/>
      <c r="Y65" s="41"/>
      <c r="Z65" s="38"/>
    </row>
    <row r="66" spans="1:26" ht="53.25">
      <c r="A66" s="14" t="str">
        <f>'2º TRIMESTRE'!A66</f>
        <v>CONCORRÊNCIA Licitação: 006/2021</v>
      </c>
      <c r="B66" s="14" t="str">
        <f>'2º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14" t="str">
        <f>'2º TRIMESTRE'!C66</f>
        <v> 892570/2019</v>
      </c>
      <c r="D66" s="14" t="str">
        <f>'2º TRIMESTRE'!D66</f>
        <v>Emenda Parlamentar Federal</v>
      </c>
      <c r="E66" s="16">
        <f>'2º TRIMESTRE'!E66</f>
        <v>3820000</v>
      </c>
      <c r="F66" s="16">
        <f>'2º TRIMESTRE'!F66</f>
        <v>8000</v>
      </c>
      <c r="G66" s="14" t="str">
        <f>'2º TRIMESTRE'!G66</f>
        <v>02.724.778/0001-79</v>
      </c>
      <c r="H66" s="14" t="str">
        <f>'2º TRIMESTRE'!H66</f>
        <v>UNITERRA - UNIAO TERRAPLENAGEM E CONSTRUCOES LTDA</v>
      </c>
      <c r="I66" s="14" t="str">
        <f>'2º TRIMESTRE'!I66</f>
        <v>6-041/21</v>
      </c>
      <c r="J66" s="44">
        <f>'2º TRIMESTRE'!J66</f>
        <v>44456</v>
      </c>
      <c r="K66" s="15">
        <f>'2º TRIMESTRE'!K66</f>
        <v>180</v>
      </c>
      <c r="L66" s="16">
        <f>'2º TRIMESTRE'!L66</f>
        <v>1022476.9</v>
      </c>
      <c r="M66" s="44">
        <f>'2º TRIMESTRE'!M66</f>
        <v>44726</v>
      </c>
      <c r="N66" s="15">
        <f>'2º TRIMESTRE'!N66+180</f>
        <v>270</v>
      </c>
      <c r="O66" s="16">
        <f>'2º TRIMESTRE'!O66</f>
        <v>0</v>
      </c>
      <c r="P66" s="57">
        <f>'2º TRIMESTRE'!P66</f>
        <v>-817.52</v>
      </c>
      <c r="Q66" s="15" t="str">
        <f>'2º TRIMESTRE'!Q66</f>
        <v>4.4.90.39</v>
      </c>
      <c r="R66" s="195">
        <f>'2º TRIMESTRE'!R66+4241.34</f>
        <v>243293.74</v>
      </c>
      <c r="S66" s="195">
        <v>239052.4</v>
      </c>
      <c r="T66" s="195">
        <f>'2º TRIMESTRE'!T66+S66</f>
        <v>239052.4</v>
      </c>
      <c r="U66" s="195">
        <f>'2º TRIMESTRE'!U66+S66</f>
        <v>239052.4</v>
      </c>
      <c r="V66" s="15" t="str">
        <f>'2º TRIMESTRE'!V66</f>
        <v>andamento</v>
      </c>
      <c r="W66" s="41"/>
      <c r="X66" s="41"/>
      <c r="Y66" s="41"/>
      <c r="Z66" s="38"/>
    </row>
    <row r="67" spans="1:26" ht="31.5">
      <c r="A67" s="14" t="str">
        <f>'2º TRIMESTRE'!A67</f>
        <v>CONCORRÊNCIA Licitação: 011/2021</v>
      </c>
      <c r="B67" s="14" t="str">
        <f>'2º TRIMESTRE'!B67</f>
        <v>CONTRATAÇÃO DE SERVIÇOS DE APOIO TÉCNICO AO MONITORAMENTO DAS AÇÕES DE MANUTENÇÃO DO SISTEMA VIÁRIO DA CIDADE DO RECIFE</v>
      </c>
      <c r="C67" s="14">
        <f>'2º TRIMESTRE'!C67</f>
        <v>0</v>
      </c>
      <c r="D67" s="14">
        <f>'2º TRIMESTRE'!D67</f>
        <v>0</v>
      </c>
      <c r="E67" s="16">
        <f>'2º TRIMESTRE'!E67</f>
        <v>0</v>
      </c>
      <c r="F67" s="16">
        <f>'2º TRIMESTRE'!F67</f>
        <v>0</v>
      </c>
      <c r="G67" s="14" t="str">
        <f>'2º TRIMESTRE'!G67</f>
        <v>41.075.755/0001-32</v>
      </c>
      <c r="H67" s="14" t="str">
        <f>'2º TRIMESTRE'!H67</f>
        <v>NORCONSULT PROJETOS E CONSULTORIA LTDA</v>
      </c>
      <c r="I67" s="14" t="str">
        <f>'2º TRIMESTRE'!I67</f>
        <v>6-055/21</v>
      </c>
      <c r="J67" s="44">
        <f>'2º TRIMESTRE'!J67</f>
        <v>44531</v>
      </c>
      <c r="K67" s="15">
        <f>'2º TRIMESTRE'!K67</f>
        <v>1155</v>
      </c>
      <c r="L67" s="16">
        <f>'2º TRIMESTRE'!L67</f>
        <v>6729243.9</v>
      </c>
      <c r="M67" s="44">
        <f>'2º TRIMESTRE'!M67</f>
        <v>45686</v>
      </c>
      <c r="N67" s="15">
        <f>'2º TRIMESTRE'!N67</f>
        <v>0</v>
      </c>
      <c r="O67" s="16">
        <f>'2º TRIMESTRE'!O67+54430.78</f>
        <v>54430.78</v>
      </c>
      <c r="P67" s="57">
        <f>'2º TRIMESTRE'!P67</f>
        <v>-2082965.4</v>
      </c>
      <c r="Q67" s="15" t="str">
        <f>'2º TRIMESTRE'!Q67</f>
        <v>3.3.90.39</v>
      </c>
      <c r="R67" s="195">
        <f>'2º TRIMESTRE'!R67+373815.08</f>
        <v>893170.03</v>
      </c>
      <c r="S67" s="195">
        <v>373815.08</v>
      </c>
      <c r="T67" s="195">
        <f>'2º TRIMESTRE'!T67+S67</f>
        <v>893169.73</v>
      </c>
      <c r="U67" s="195">
        <f>'2º TRIMESTRE'!U67+S67</f>
        <v>893169.73</v>
      </c>
      <c r="V67" s="15" t="str">
        <f>'2º TRIMESTRE'!V67</f>
        <v>andamento</v>
      </c>
      <c r="W67" s="41"/>
      <c r="X67" s="41"/>
      <c r="Y67" s="41"/>
      <c r="Z67" s="38"/>
    </row>
    <row r="68" spans="1:26" ht="63.75">
      <c r="A68" s="14" t="str">
        <f>'2º TRIMESTRE'!A68</f>
        <v>CONCORRÊNCIA Licitação: 15/2021</v>
      </c>
      <c r="B68" s="14" t="str">
        <f>'2º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14">
        <f>'2º TRIMESTRE'!C68</f>
        <v>0</v>
      </c>
      <c r="D68" s="14">
        <f>'2º TRIMESTRE'!D68</f>
        <v>0</v>
      </c>
      <c r="E68" s="16">
        <f>'2º TRIMESTRE'!E68</f>
        <v>0</v>
      </c>
      <c r="F68" s="16">
        <f>'2º TRIMESTRE'!F68</f>
        <v>0</v>
      </c>
      <c r="G68" s="14" t="str">
        <f>'2º TRIMESTRE'!G68</f>
        <v>12.285.441/0001-66</v>
      </c>
      <c r="H68" s="14" t="str">
        <f>'2º TRIMESTRE'!H68</f>
        <v>TPF ENGENHARIA LTDA</v>
      </c>
      <c r="I68" s="14" t="str">
        <f>'2º TRIMESTRE'!I68</f>
        <v>6-058/21</v>
      </c>
      <c r="J68" s="44">
        <f>'2º TRIMESTRE'!J68</f>
        <v>44531</v>
      </c>
      <c r="K68" s="15">
        <f>'2º TRIMESTRE'!K68</f>
        <v>1890</v>
      </c>
      <c r="L68" s="16">
        <f>'2º TRIMESTRE'!L68</f>
        <v>39551349</v>
      </c>
      <c r="M68" s="44">
        <f>'2º TRIMESTRE'!M68</f>
        <v>46421</v>
      </c>
      <c r="N68" s="15">
        <f>'2º TRIMESTRE'!N68</f>
        <v>0</v>
      </c>
      <c r="O68" s="16">
        <f>'2º TRIMESTRE'!O68</f>
        <v>0</v>
      </c>
      <c r="P68" s="57">
        <f>'2º TRIMESTRE'!P68</f>
        <v>0</v>
      </c>
      <c r="Q68" s="15" t="str">
        <f>'2º TRIMESTRE'!Q68</f>
        <v>3.3.90.39</v>
      </c>
      <c r="R68" s="195">
        <f>'2º TRIMESTRE'!R68+1977567.45</f>
        <v>5295770.79</v>
      </c>
      <c r="S68" s="195">
        <v>2636756.6</v>
      </c>
      <c r="T68" s="195">
        <f>'2º TRIMESTRE'!T68+S68</f>
        <v>5295770.790000001</v>
      </c>
      <c r="U68" s="195">
        <f>'2º TRIMESTRE'!U68+S68</f>
        <v>5295770.790000001</v>
      </c>
      <c r="V68" s="15" t="str">
        <f>'2º TRIMESTRE'!V68</f>
        <v>andamento</v>
      </c>
      <c r="W68" s="41"/>
      <c r="X68" s="41"/>
      <c r="Y68" s="41"/>
      <c r="Z68" s="38"/>
    </row>
    <row r="69" spans="1:26" ht="31.5">
      <c r="A69" s="14" t="str">
        <f>'2º TRIMESTRE'!A69</f>
        <v>CONCORRÊNCIA Licitação: 010/2021</v>
      </c>
      <c r="B69" s="14" t="str">
        <f>'2º TRIMESTRE'!B69</f>
        <v>CONTRATACAÇÃO DE EMPRESA ESPECIALIZADA NO RAMO DE ENGENHARIA PARA EXECUÇÃO DOS SERVIÇOS DE RECUPERAÇÃO DA REDE DE DRENAGEM NO ENTORNO DA PRAÇA MIGUEL DE CERVANTES, ILHA DO LEITE - RECIFE PE</v>
      </c>
      <c r="C69" s="14">
        <f>'2º TRIMESTRE'!C69</f>
        <v>0</v>
      </c>
      <c r="D69" s="14">
        <f>'2º TRIMESTRE'!D69</f>
        <v>0</v>
      </c>
      <c r="E69" s="16">
        <f>'2º TRIMESTRE'!E69</f>
        <v>0</v>
      </c>
      <c r="F69" s="16">
        <f>'2º TRIMESTRE'!F69</f>
        <v>0</v>
      </c>
      <c r="G69" s="14" t="str">
        <f>'2º TRIMESTRE'!G69</f>
        <v>07.654.042/0001-95</v>
      </c>
      <c r="H69" s="14" t="str">
        <f>'2º TRIMESTRE'!H69</f>
        <v>ALTA SERVIÇOS DE ENGENHARIA LTDA - EPP</v>
      </c>
      <c r="I69" s="14" t="str">
        <f>'2º TRIMESTRE'!I69</f>
        <v>6-059/21</v>
      </c>
      <c r="J69" s="44">
        <f>'2º TRIMESTRE'!J69</f>
        <v>44636</v>
      </c>
      <c r="K69" s="15">
        <f>'2º TRIMESTRE'!K69</f>
        <v>90</v>
      </c>
      <c r="L69" s="16">
        <f>'2º TRIMESTRE'!L69</f>
        <v>911954.77</v>
      </c>
      <c r="M69" s="44">
        <f>'2º TRIMESTRE'!M69</f>
        <v>44758</v>
      </c>
      <c r="N69" s="15">
        <f>'2º TRIMESTRE'!N69+30</f>
        <v>62</v>
      </c>
      <c r="O69" s="16">
        <f>'2º TRIMESTRE'!O69+100401.05</f>
        <v>100401.05</v>
      </c>
      <c r="P69" s="57">
        <f>'2º TRIMESTRE'!P69</f>
        <v>0</v>
      </c>
      <c r="Q69" s="15" t="str">
        <f>'2º TRIMESTRE'!Q69</f>
        <v>4.4.90.39</v>
      </c>
      <c r="R69" s="195">
        <f>'2º TRIMESTRE'!S69+240951.92</f>
        <v>998381.65</v>
      </c>
      <c r="S69" s="195">
        <v>240951.92</v>
      </c>
      <c r="T69" s="195">
        <f>'2º TRIMESTRE'!T69+S69</f>
        <v>998381.65</v>
      </c>
      <c r="U69" s="195">
        <f>'2º TRIMESTRE'!U69+S69</f>
        <v>998381.65</v>
      </c>
      <c r="V69" s="15" t="str">
        <f>'2º TRIMESTRE'!V69</f>
        <v>andamento</v>
      </c>
      <c r="W69" s="41"/>
      <c r="X69" s="41"/>
      <c r="Y69" s="41"/>
      <c r="Z69" s="38"/>
    </row>
    <row r="70" spans="1:26" ht="53.25">
      <c r="A70" s="14" t="str">
        <f>'2º TRIMESTRE'!A70</f>
        <v>TOMADA DE PREÇOS Licitação: 007/2021</v>
      </c>
      <c r="B70" s="14" t="str">
        <f>'2º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14" t="str">
        <f>'2º TRIMESTRE'!C70</f>
        <v>884436/2019</v>
      </c>
      <c r="D70" s="14" t="str">
        <f>'2º TRIMESTRE'!D70</f>
        <v>Emenda Parlamentar Federal</v>
      </c>
      <c r="E70" s="16">
        <f>'2º TRIMESTRE'!E70</f>
        <v>355737</v>
      </c>
      <c r="F70" s="16">
        <f>'2º TRIMESTRE'!F70</f>
        <v>2000</v>
      </c>
      <c r="G70" s="14" t="str">
        <f>'2º TRIMESTRE'!G70</f>
        <v>05.625.079/0001-60</v>
      </c>
      <c r="H70" s="14" t="str">
        <f>'2º TRIMESTRE'!H70</f>
        <v>CONSTRUTORA MARDIFI LTDA - EPP </v>
      </c>
      <c r="I70" s="14" t="str">
        <f>'2º TRIMESTRE'!I70</f>
        <v>6-060/21</v>
      </c>
      <c r="J70" s="44">
        <f>'2º TRIMESTRE'!J70</f>
        <v>44603</v>
      </c>
      <c r="K70" s="15">
        <f>'2º TRIMESTRE'!K70</f>
        <v>150</v>
      </c>
      <c r="L70" s="16">
        <f>'2º TRIMESTRE'!L70</f>
        <v>193107.81</v>
      </c>
      <c r="M70" s="44">
        <f>'2º TRIMESTRE'!M70</f>
        <v>44753</v>
      </c>
      <c r="N70" s="15">
        <f>'2º TRIMESTRE'!N70+90</f>
        <v>90</v>
      </c>
      <c r="O70" s="16">
        <f>'2º TRIMESTRE'!O70</f>
        <v>0</v>
      </c>
      <c r="P70" s="57">
        <f>'2º TRIMESTRE'!P70</f>
        <v>0</v>
      </c>
      <c r="Q70" s="15" t="str">
        <f>'2º TRIMESTRE'!Q70</f>
        <v>4.4.90.39</v>
      </c>
      <c r="R70" s="195">
        <f>'2º TRIMESTRE'!R70</f>
        <v>0</v>
      </c>
      <c r="S70" s="195"/>
      <c r="T70" s="195">
        <f>'2º TRIMESTRE'!T70+S70</f>
        <v>0</v>
      </c>
      <c r="U70" s="195">
        <f>'2º TRIMESTRE'!U70+S70</f>
        <v>0</v>
      </c>
      <c r="V70" s="15" t="str">
        <f>'2º TRIMESTRE'!V70</f>
        <v>andamento</v>
      </c>
      <c r="W70" s="41"/>
      <c r="X70" s="41"/>
      <c r="Y70" s="41"/>
      <c r="Z70" s="38"/>
    </row>
    <row r="71" spans="1:26" ht="53.25">
      <c r="A71" s="14" t="str">
        <f>'2º TRIMESTRE'!A71</f>
        <v>TOMADA DE PREÇOS Licitação: 007/2021</v>
      </c>
      <c r="B71" s="14" t="str">
        <f>'2º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14" t="str">
        <f>'2º TRIMESTRE'!C71</f>
        <v>884436/2019</v>
      </c>
      <c r="D71" s="14" t="str">
        <f>'2º TRIMESTRE'!D71</f>
        <v>Emenda Parlamentar Federal</v>
      </c>
      <c r="E71" s="16">
        <f>'2º TRIMESTRE'!E71</f>
        <v>355737</v>
      </c>
      <c r="F71" s="16">
        <f>'2º TRIMESTRE'!F71</f>
        <v>2000</v>
      </c>
      <c r="G71" s="14" t="str">
        <f>'2º TRIMESTRE'!G71</f>
        <v>05.625.079/0001-60</v>
      </c>
      <c r="H71" s="14" t="str">
        <f>'2º TRIMESTRE'!H71</f>
        <v>CONSTRUTORA MARDIFI LTDA - EPP </v>
      </c>
      <c r="I71" s="14" t="str">
        <f>'2º TRIMESTRE'!I71</f>
        <v>6-061/21</v>
      </c>
      <c r="J71" s="44">
        <f>'2º TRIMESTRE'!J71</f>
        <v>44603</v>
      </c>
      <c r="K71" s="15">
        <f>'2º TRIMESTRE'!K71</f>
        <v>150</v>
      </c>
      <c r="L71" s="16">
        <f>'2º TRIMESTRE'!L71</f>
        <v>119800.38</v>
      </c>
      <c r="M71" s="44">
        <f>'2º TRIMESTRE'!M71</f>
        <v>44843</v>
      </c>
      <c r="N71" s="15">
        <f>'2º TRIMESTRE'!N71+90</f>
        <v>180</v>
      </c>
      <c r="O71" s="16">
        <f>'2º TRIMESTRE'!O71</f>
        <v>0</v>
      </c>
      <c r="P71" s="57">
        <f>'2º TRIMESTRE'!P71+-48.25</f>
        <v>-48.25</v>
      </c>
      <c r="Q71" s="15" t="str">
        <f>'2º TRIMESTRE'!Q71</f>
        <v>4.4.90.39</v>
      </c>
      <c r="R71" s="195">
        <f>'2º TRIMESTRE'!R71</f>
        <v>5813.89</v>
      </c>
      <c r="S71" s="195">
        <v>0</v>
      </c>
      <c r="T71" s="195">
        <f>'2º TRIMESTRE'!T71+S71</f>
        <v>0</v>
      </c>
      <c r="U71" s="195">
        <f>'2º TRIMESTRE'!U71+S71</f>
        <v>0</v>
      </c>
      <c r="V71" s="15" t="str">
        <f>'2º TRIMESTRE'!V71</f>
        <v>andamento</v>
      </c>
      <c r="W71" s="41"/>
      <c r="X71" s="41"/>
      <c r="Y71" s="41"/>
      <c r="Z71" s="38"/>
    </row>
    <row r="72" spans="1:26" ht="31.5">
      <c r="A72" s="14" t="str">
        <f>'2º TRIMESTRE'!A72</f>
        <v>CONCORRÊNCIA Licitação: 016/2021</v>
      </c>
      <c r="B72" s="14" t="str">
        <f>'2º TRIMESTRE'!B72</f>
        <v>SERVIÇOS DE RECUPERAÇÃO ESTRUTURAL DA PONTE RODOVIÁRIA, DENOMINADA ANTIGA PONTE GIRATÓRIA, QUE LIGA O BAIRRO DE SÃO JOSÉ AO BAIRRO DO RECIFE NA CIDADE DO RECIFE - PE</v>
      </c>
      <c r="C72" s="14">
        <f>'2º TRIMESTRE'!C72</f>
        <v>0</v>
      </c>
      <c r="D72" s="14">
        <f>'2º TRIMESTRE'!D72</f>
        <v>0</v>
      </c>
      <c r="E72" s="16">
        <f>'2º TRIMESTRE'!E72</f>
        <v>0</v>
      </c>
      <c r="F72" s="16">
        <f>'2º TRIMESTRE'!F72</f>
        <v>0</v>
      </c>
      <c r="G72" s="14" t="str">
        <f>'2º TRIMESTRE'!G72</f>
        <v>00.507.949/0001-82</v>
      </c>
      <c r="H72" s="14" t="str">
        <f>'2º TRIMESTRE'!H72</f>
        <v>JATOBETON ENGENHARIA LTDA</v>
      </c>
      <c r="I72" s="14" t="str">
        <f>'2º TRIMESTRE'!I72</f>
        <v>6-063/21</v>
      </c>
      <c r="J72" s="44">
        <f>'2º TRIMESTRE'!J72</f>
        <v>44615</v>
      </c>
      <c r="K72" s="15">
        <f>'2º TRIMESTRE'!K72</f>
        <v>645</v>
      </c>
      <c r="L72" s="16">
        <f>'2º TRIMESTRE'!L72</f>
        <v>9469419.63</v>
      </c>
      <c r="M72" s="44">
        <f>'2º TRIMESTRE'!M72</f>
        <v>45260</v>
      </c>
      <c r="N72" s="15">
        <f>'2º TRIMESTRE'!N72</f>
        <v>0</v>
      </c>
      <c r="O72" s="16">
        <f>'2º TRIMESTRE'!O72</f>
        <v>0</v>
      </c>
      <c r="P72" s="57">
        <f>'2º TRIMESTRE'!P72+-120618.6</f>
        <v>-120618.6</v>
      </c>
      <c r="Q72" s="15" t="str">
        <f>'2º TRIMESTRE'!Q72</f>
        <v>4.4.90.39</v>
      </c>
      <c r="R72" s="195">
        <f>'2º TRIMESTRE'!R72+1134744.43</f>
        <v>3388425.87</v>
      </c>
      <c r="S72" s="195">
        <v>2295275.13</v>
      </c>
      <c r="T72" s="195">
        <f>'2º TRIMESTRE'!T72+S72</f>
        <v>3253714.59</v>
      </c>
      <c r="U72" s="195">
        <f>'2º TRIMESTRE'!U72+S72</f>
        <v>3253714.59</v>
      </c>
      <c r="V72" s="15" t="str">
        <f>'2º TRIMESTRE'!V72</f>
        <v>andamento</v>
      </c>
      <c r="W72" s="41"/>
      <c r="X72" s="41"/>
      <c r="Y72" s="41"/>
      <c r="Z72" s="38"/>
    </row>
    <row r="73" spans="1:26" ht="42.75">
      <c r="A73" s="14" t="str">
        <f>'2º TRIMESTRE'!A73</f>
        <v>TOMADA DE PREÇOS Licitação: 006/2021</v>
      </c>
      <c r="B73" s="14" t="str">
        <f>'2º TRIMESTRE'!B73</f>
        <v>CONTRATAÇÃO DE EMPRESA DE ENGENHARIA, ESPECIALIZADA EM ILUMINAÇÃO PÚBLICA, PARA INSTALAÇÃO DE LUMINÁRIAS RGB COM TECNOLOGIA LED E REDE ELÉTRICA,  PARA ILUMINAÇÃO CÊNICA DA PRAÇA SOLANGE PINTO</v>
      </c>
      <c r="C73" s="14">
        <f>'2º TRIMESTRE'!C73</f>
        <v>0</v>
      </c>
      <c r="D73" s="14">
        <f>'2º TRIMESTRE'!D73</f>
        <v>0</v>
      </c>
      <c r="E73" s="16">
        <f>'2º TRIMESTRE'!E73</f>
        <v>0</v>
      </c>
      <c r="F73" s="16">
        <f>'2º TRIMESTRE'!F73</f>
        <v>0</v>
      </c>
      <c r="G73" s="14" t="str">
        <f>'2º TRIMESTRE'!G73</f>
        <v>03.834.750/0001-57</v>
      </c>
      <c r="H73" s="14" t="str">
        <f>'2º TRIMESTRE'!H73</f>
        <v>EIP SERVICOS DE ILUMINACAO LTDA</v>
      </c>
      <c r="I73" s="14" t="str">
        <f>'2º TRIMESTRE'!I73</f>
        <v>6-065/21</v>
      </c>
      <c r="J73" s="44">
        <f>'2º TRIMESTRE'!J73</f>
        <v>44559</v>
      </c>
      <c r="K73" s="15">
        <f>'2º TRIMESTRE'!K73</f>
        <v>150</v>
      </c>
      <c r="L73" s="16">
        <f>'2º TRIMESTRE'!L73</f>
        <v>316211.92</v>
      </c>
      <c r="M73" s="44">
        <f>'2º TRIMESTRE'!M73</f>
        <v>44799</v>
      </c>
      <c r="N73" s="15">
        <f>'2º TRIMESTRE'!N73</f>
        <v>90</v>
      </c>
      <c r="O73" s="16">
        <f>'2º TRIMESTRE'!O73</f>
        <v>0</v>
      </c>
      <c r="P73" s="57">
        <f>'2º TRIMESTRE'!P73</f>
        <v>0</v>
      </c>
      <c r="Q73" s="15" t="str">
        <f>'2º TRIMESTRE'!Q73</f>
        <v>3.3.90.39</v>
      </c>
      <c r="R73" s="195">
        <f>'2º TRIMESTRE'!R73+71399.43</f>
        <v>307218.04</v>
      </c>
      <c r="S73" s="195">
        <v>71399.43</v>
      </c>
      <c r="T73" s="195">
        <f>'2º TRIMESTRE'!T73+S73</f>
        <v>307218.04</v>
      </c>
      <c r="U73" s="195">
        <f>'2º TRIMESTRE'!U73+S73</f>
        <v>307218.04</v>
      </c>
      <c r="V73" s="15" t="s">
        <v>188</v>
      </c>
      <c r="W73" s="41"/>
      <c r="X73" s="41"/>
      <c r="Y73" s="41"/>
      <c r="Z73" s="38"/>
    </row>
    <row r="74" spans="1:26" ht="42.75">
      <c r="A74" s="14" t="str">
        <f>'2º TRIMESTRE'!A74</f>
        <v>TOMADA DE PREÇOS Licitação: 005/2021</v>
      </c>
      <c r="B74" s="14" t="str">
        <f>'2º TRIMESTRE'!B74</f>
        <v>CONTRATAÇÃO DE EMPRESA DE ENGENHARIA, ESPECIALIZADA EM ILUMINAÇÃO PÚBLICA, PARA INSTALAÇÃO DE LUMINÁRIAS RGB COM TECNOLOGIA LED E REDE ELÉTRICA, PARA ILUMINAÇÃO CÊNICA DA PONTE DA BOA VISTA, NO BAIRRO DA BOA VISTA</v>
      </c>
      <c r="C74" s="14" t="str">
        <f>'2º TRIMESTRE'!C74</f>
        <v>532561/2020</v>
      </c>
      <c r="D74" s="14" t="str">
        <f>'2º TRIMESTRE'!D74</f>
        <v>FINISA</v>
      </c>
      <c r="E74" s="16">
        <f>'2º TRIMESTRE'!E74</f>
        <v>50000000</v>
      </c>
      <c r="F74" s="16">
        <f>'2º TRIMESTRE'!F74</f>
        <v>0</v>
      </c>
      <c r="G74" s="14" t="str">
        <f>'2º TRIMESTRE'!G74</f>
        <v>32.185.141/0001-12</v>
      </c>
      <c r="H74" s="14" t="str">
        <f>'2º TRIMESTRE'!H74</f>
        <v>CASTRO &amp; ROCHA LTDA</v>
      </c>
      <c r="I74" s="14" t="str">
        <f>'2º TRIMESTRE'!I74</f>
        <v>6-066/21</v>
      </c>
      <c r="J74" s="44">
        <f>'2º TRIMESTRE'!J74</f>
        <v>44559</v>
      </c>
      <c r="K74" s="15">
        <f>'2º TRIMESTRE'!K74</f>
        <v>90</v>
      </c>
      <c r="L74" s="16">
        <f>'2º TRIMESTRE'!L74</f>
        <v>279121.41</v>
      </c>
      <c r="M74" s="44">
        <f>'2º TRIMESTRE'!M74</f>
        <v>44708</v>
      </c>
      <c r="N74" s="15">
        <f>'2º TRIMESTRE'!N74+94</f>
        <v>153</v>
      </c>
      <c r="O74" s="16">
        <f>'2º TRIMESTRE'!O74+29693.92</f>
        <v>29693.92</v>
      </c>
      <c r="P74" s="57">
        <f>'2º TRIMESTRE'!P74</f>
        <v>0</v>
      </c>
      <c r="Q74" s="15" t="str">
        <f>'2º TRIMESTRE'!Q74</f>
        <v>4.4.90.39</v>
      </c>
      <c r="R74" s="195">
        <f>'2º TRIMESTRE'!R74+228114.41</f>
        <v>302263.89</v>
      </c>
      <c r="S74" s="195">
        <v>228114.41</v>
      </c>
      <c r="T74" s="195">
        <f>'2º TRIMESTRE'!T74+S74</f>
        <v>302263.89</v>
      </c>
      <c r="U74" s="195">
        <f>'2º TRIMESTRE'!U74+S74</f>
        <v>302263.89</v>
      </c>
      <c r="V74" s="15" t="str">
        <f>'2º TRIMESTRE'!V74</f>
        <v>andamento</v>
      </c>
      <c r="W74" s="41"/>
      <c r="X74" s="41"/>
      <c r="Y74" s="41"/>
      <c r="Z74" s="38"/>
    </row>
    <row r="75" spans="1:26" ht="42.75">
      <c r="A75" s="14" t="str">
        <f>'2º TRIMESTRE'!A75</f>
        <v>CONCORRÊNCIA / nº 014/2021</v>
      </c>
      <c r="B75" s="14" t="str">
        <f>'2º TRIMESTRE'!B75</f>
        <v>CONTRATAÇÃO DE EMPRESA DE ENGENHARIA, ESPECIALIZADA EM ILUMINAÇÃO PÚBLICA, PARA FORNECIMENTO E INSTALAÇÃO DE LUMINÁRIAS COM TECNOLOGIA LED RGB E REDE ELÉTRICA, PARA ILUMINAÇÃO CÊNICA DO PARQUE DONA LINDU, BOA VIAGEM</v>
      </c>
      <c r="C75" s="14" t="str">
        <f>'2º TRIMESTRE'!C75</f>
        <v>532561/2020</v>
      </c>
      <c r="D75" s="14" t="str">
        <f>'2º TRIMESTRE'!D75</f>
        <v>FINISA</v>
      </c>
      <c r="E75" s="16">
        <f>'2º TRIMESTRE'!E75</f>
        <v>50000000</v>
      </c>
      <c r="F75" s="16">
        <f>'2º TRIMESTRE'!F75</f>
        <v>0</v>
      </c>
      <c r="G75" s="14" t="str">
        <f>'2º TRIMESTRE'!G75</f>
        <v>03.834.750/0001-57</v>
      </c>
      <c r="H75" s="14" t="str">
        <f>'2º TRIMESTRE'!H75</f>
        <v>EIP SERVICOS DE ILUMINACAO LTDA</v>
      </c>
      <c r="I75" s="14" t="str">
        <f>'2º TRIMESTRE'!I75</f>
        <v>6-001/22</v>
      </c>
      <c r="J75" s="44">
        <f>'2º TRIMESTRE'!J75</f>
        <v>44599</v>
      </c>
      <c r="K75" s="15">
        <f>'2º TRIMESTRE'!K75</f>
        <v>150</v>
      </c>
      <c r="L75" s="16">
        <f>'2º TRIMESTRE'!L75</f>
        <v>2245061.82</v>
      </c>
      <c r="M75" s="44">
        <f>'2º TRIMESTRE'!M75</f>
        <v>44899</v>
      </c>
      <c r="N75" s="15">
        <f>'2º TRIMESTRE'!N75</f>
        <v>150</v>
      </c>
      <c r="O75" s="16">
        <f>'2º TRIMESTRE'!O75</f>
        <v>0</v>
      </c>
      <c r="P75" s="57">
        <f>'2º TRIMESTRE'!P75</f>
        <v>0</v>
      </c>
      <c r="Q75" s="15" t="str">
        <f>'2º TRIMESTRE'!Q75</f>
        <v>4.4.90.39</v>
      </c>
      <c r="R75" s="195">
        <f>'2º TRIMESTRE'!R75+2216701.46</f>
        <v>2216701.46</v>
      </c>
      <c r="S75" s="195">
        <v>1815857.81</v>
      </c>
      <c r="T75" s="195">
        <f>'2º TRIMESTRE'!T75+S75</f>
        <v>1815857.81</v>
      </c>
      <c r="U75" s="195">
        <f>'2º TRIMESTRE'!U75+S75</f>
        <v>1815857.81</v>
      </c>
      <c r="V75" s="15" t="str">
        <f>'2º TRIMESTRE'!V75</f>
        <v>andamento</v>
      </c>
      <c r="W75" s="41"/>
      <c r="X75" s="41"/>
      <c r="Y75" s="41"/>
      <c r="Z75" s="38"/>
    </row>
    <row r="76" spans="1:26" ht="31.5">
      <c r="A76" s="14" t="str">
        <f>'2º TRIMESTRE'!A76</f>
        <v>CONCORRÊNCIA / nº 012/2021</v>
      </c>
      <c r="B76" s="14" t="str">
        <f>'2º TRIMESTRE'!B76</f>
        <v>CONTRATAÇÃO DE EMPRESA DE ENGENHARIA, ESPECIALIZADA EM ILUMINAÇÃO PÚBLICA, PARA SERVIÇOS DE APOIO TÉCNICO PARA CIDADE DO RECIFE.</v>
      </c>
      <c r="C76" s="14">
        <f>'2º TRIMESTRE'!C76</f>
        <v>0</v>
      </c>
      <c r="D76" s="14">
        <f>'2º TRIMESTRE'!D76</f>
        <v>0</v>
      </c>
      <c r="E76" s="16">
        <f>'2º TRIMESTRE'!E76</f>
        <v>0</v>
      </c>
      <c r="F76" s="16">
        <f>'2º TRIMESTRE'!F76</f>
        <v>0</v>
      </c>
      <c r="G76" s="14" t="str">
        <f>'2º TRIMESTRE'!G76</f>
        <v>03.834.750/0001-57</v>
      </c>
      <c r="H76" s="14" t="str">
        <f>'2º TRIMESTRE'!H76</f>
        <v>EIP SERVICOS DE ILUMINACAO LTDA</v>
      </c>
      <c r="I76" s="14" t="str">
        <f>'2º TRIMESTRE'!I76</f>
        <v>6-002/22</v>
      </c>
      <c r="J76" s="44">
        <f>'2º TRIMESTRE'!J76</f>
        <v>44589</v>
      </c>
      <c r="K76" s="15">
        <f>'2º TRIMESTRE'!K76</f>
        <v>760</v>
      </c>
      <c r="L76" s="16">
        <f>'2º TRIMESTRE'!L76</f>
        <v>1418802</v>
      </c>
      <c r="M76" s="44">
        <f>'2º TRIMESTRE'!M76</f>
        <v>45349</v>
      </c>
      <c r="N76" s="15">
        <f>'2º TRIMESTRE'!N76</f>
        <v>0</v>
      </c>
      <c r="O76" s="16">
        <f>'2º TRIMESTRE'!O76</f>
        <v>130967.16</v>
      </c>
      <c r="P76" s="57">
        <f>'2º TRIMESTRE'!P76</f>
        <v>0</v>
      </c>
      <c r="Q76" s="15" t="str">
        <f>'2º TRIMESTRE'!Q76</f>
        <v>3.3.90.39</v>
      </c>
      <c r="R76" s="195">
        <f>'2º TRIMESTRE'!R76+303971.48</f>
        <v>547826.9</v>
      </c>
      <c r="S76" s="195">
        <v>303971.48</v>
      </c>
      <c r="T76" s="195">
        <f>'2º TRIMESTRE'!T76+S76</f>
        <v>547826.9</v>
      </c>
      <c r="U76" s="195">
        <f>'2º TRIMESTRE'!U76+S76</f>
        <v>547826.9</v>
      </c>
      <c r="V76" s="15" t="str">
        <f>'2º TRIMESTRE'!V76</f>
        <v>andamento</v>
      </c>
      <c r="W76" s="41"/>
      <c r="X76" s="41"/>
      <c r="Y76" s="41"/>
      <c r="Z76" s="38"/>
    </row>
    <row r="77" spans="1:26" ht="31.5">
      <c r="A77" s="14" t="str">
        <f>'2º TRIMESTRE'!A77</f>
        <v>CONCORRÊNCIA / nº 008/2021</v>
      </c>
      <c r="B77" s="14" t="str">
        <f>'2º TRIMESTRE'!B77</f>
        <v>CONTRATAÇÃO DE EMPRESA DE ENGENHARIA, ESPECIALIZADA EM ILUMINAÇÃO PÚBLICA, PARA EXECUÇÃO DA MANUTENÇÃO, PREVENTIVA E CORRETIVA, DO SISTEMA DE ILUMINAÇÃO CÊNICA DA CIDADE DO RECIFE</v>
      </c>
      <c r="C77" s="14" t="str">
        <f>'2º TRIMESTRE'!C77</f>
        <v>532561/2020</v>
      </c>
      <c r="D77" s="14" t="str">
        <f>'2º TRIMESTRE'!D77</f>
        <v>FINISA</v>
      </c>
      <c r="E77" s="16">
        <f>'2º TRIMESTRE'!E77</f>
        <v>50000000</v>
      </c>
      <c r="F77" s="16">
        <f>'2º TRIMESTRE'!F77</f>
        <v>0</v>
      </c>
      <c r="G77" s="14" t="str">
        <f>'2º TRIMESTRE'!G77</f>
        <v>03.834.750/0001-57</v>
      </c>
      <c r="H77" s="14" t="str">
        <f>'2º TRIMESTRE'!H77</f>
        <v>EIP SERVICOS DE ILUMINACAO LTDA</v>
      </c>
      <c r="I77" s="14" t="str">
        <f>'2º TRIMESTRE'!I77</f>
        <v>6-003/22</v>
      </c>
      <c r="J77" s="44">
        <f>'2º TRIMESTRE'!J77</f>
        <v>44589</v>
      </c>
      <c r="K77" s="15">
        <f>'2º TRIMESTRE'!K77</f>
        <v>760</v>
      </c>
      <c r="L77" s="16">
        <f>'2º TRIMESTRE'!L77</f>
        <v>3730846.67</v>
      </c>
      <c r="M77" s="44">
        <f>'2º TRIMESTRE'!M77</f>
        <v>45349</v>
      </c>
      <c r="N77" s="15">
        <f>'2º TRIMESTRE'!N77</f>
        <v>0</v>
      </c>
      <c r="O77" s="16">
        <f>'2º TRIMESTRE'!O77+750887.05</f>
        <v>750887.05</v>
      </c>
      <c r="P77" s="57">
        <f>'2º TRIMESTRE'!P77</f>
        <v>0</v>
      </c>
      <c r="Q77" s="15" t="str">
        <f>'2º TRIMESTRE'!Q77</f>
        <v>4.4.90.39</v>
      </c>
      <c r="R77" s="195">
        <f>'2º TRIMESTRE'!R77+817087.35</f>
        <v>1364915.98</v>
      </c>
      <c r="S77" s="195">
        <v>817087.35</v>
      </c>
      <c r="T77" s="195">
        <f>'2º TRIMESTRE'!T77+S77</f>
        <v>1364915.98</v>
      </c>
      <c r="U77" s="195">
        <f>'2º TRIMESTRE'!U77+S77</f>
        <v>1364915.98</v>
      </c>
      <c r="V77" s="15" t="str">
        <f>'2º TRIMESTRE'!V77</f>
        <v>andamento</v>
      </c>
      <c r="W77" s="41"/>
      <c r="X77" s="41"/>
      <c r="Y77" s="41"/>
      <c r="Z77" s="38"/>
    </row>
    <row r="78" spans="1:26" ht="31.5">
      <c r="A78" s="14" t="str">
        <f>'2º TRIMESTRE'!A78</f>
        <v>Pregão Eletrônico Licitação: 037/2021</v>
      </c>
      <c r="B78" s="14" t="str">
        <f>'2º TRIMESTRE'!B78</f>
        <v>SERVIÇOS DE INFRAESTURURA PARA IMPLANTAÇÃO DO MEMORIAL JUDAICO EM HONRA AO POVO JUDEU, NA PRAÇA TIRADENTES BAIRRO DO RECIFE, RECIFE - PE</v>
      </c>
      <c r="C78" s="14">
        <f>'2º TRIMESTRE'!C78</f>
        <v>0</v>
      </c>
      <c r="D78" s="14">
        <f>'2º TRIMESTRE'!D78</f>
        <v>0</v>
      </c>
      <c r="E78" s="16">
        <f>'2º TRIMESTRE'!E78</f>
        <v>0</v>
      </c>
      <c r="F78" s="16">
        <f>'2º TRIMESTRE'!F78</f>
        <v>0</v>
      </c>
      <c r="G78" s="14" t="str">
        <f>'2º TRIMESTRE'!G78</f>
        <v>22.257.930/0001-68</v>
      </c>
      <c r="H78" s="14" t="str">
        <f>'2º TRIMESTRE'!H78</f>
        <v>G O DOS SANTOS CONSTRUCOES EIRELI</v>
      </c>
      <c r="I78" s="14" t="str">
        <f>'2º TRIMESTRE'!I78</f>
        <v>6-004/22</v>
      </c>
      <c r="J78" s="44">
        <f>'2º TRIMESTRE'!J78</f>
        <v>44602</v>
      </c>
      <c r="K78" s="15">
        <f>'2º TRIMESTRE'!K78</f>
        <v>165</v>
      </c>
      <c r="L78" s="16">
        <f>'2º TRIMESTRE'!L78</f>
        <v>119999.98</v>
      </c>
      <c r="M78" s="44">
        <f>'2º TRIMESTRE'!M78</f>
        <v>44767</v>
      </c>
      <c r="N78" s="15">
        <f>'2º TRIMESTRE'!N78+45</f>
        <v>45</v>
      </c>
      <c r="O78" s="16">
        <f>'2º TRIMESTRE'!O78</f>
        <v>0</v>
      </c>
      <c r="P78" s="57">
        <f>'2º TRIMESTRE'!P78</f>
        <v>0</v>
      </c>
      <c r="Q78" s="15" t="str">
        <f>'2º TRIMESTRE'!Q78</f>
        <v>4.4.90.39</v>
      </c>
      <c r="R78" s="195">
        <f>'2º TRIMESTRE'!R78+52307.66</f>
        <v>86787.36</v>
      </c>
      <c r="S78" s="195">
        <v>86787.36</v>
      </c>
      <c r="T78" s="195">
        <f>'2º TRIMESTRE'!T78+S78</f>
        <v>86787.36</v>
      </c>
      <c r="U78" s="195">
        <f>'2º TRIMESTRE'!U78+S78</f>
        <v>86787.36</v>
      </c>
      <c r="V78" s="15" t="s">
        <v>188</v>
      </c>
      <c r="W78" s="41"/>
      <c r="X78" s="41"/>
      <c r="Y78" s="41"/>
      <c r="Z78" s="38"/>
    </row>
    <row r="79" spans="1:26" ht="42.75">
      <c r="A79" s="14" t="str">
        <f>'2º TRIMESTRE'!A79</f>
        <v>Tomada de Preço Licitação: 009/2021</v>
      </c>
      <c r="B79" s="14" t="str">
        <f>'2º TRIMESTRE'!B79</f>
        <v>SERVIÇOS DE REFORMA DE DIVERSOS PRÉDIOS PÚBLICOS MANTIDOS PELA EMLURB: LOTE 01 DLU E GOFIS DA RPA 01 E RPA 06, LOTE 02 DIVERSOS BANHEIROS PÚBLICOS, SEDE DA EMLURB E LABORATÓRIO. LOCALIZADOS EM DIVERSOS BAIRROS DA CIDADE DO RECIFE PE</v>
      </c>
      <c r="C79" s="14">
        <f>'2º TRIMESTRE'!C79</f>
        <v>0</v>
      </c>
      <c r="D79" s="14">
        <f>'2º TRIMESTRE'!D79</f>
        <v>0</v>
      </c>
      <c r="E79" s="16">
        <f>'2º TRIMESTRE'!E79</f>
        <v>0</v>
      </c>
      <c r="F79" s="16">
        <f>'2º TRIMESTRE'!F79</f>
        <v>0</v>
      </c>
      <c r="G79" s="14" t="str">
        <f>'2º TRIMESTRE'!G79</f>
        <v>30.700.985/0001-29</v>
      </c>
      <c r="H79" s="14" t="str">
        <f>'2º TRIMESTRE'!H79</f>
        <v>CONSTRUTORA MANASSU LTDA</v>
      </c>
      <c r="I79" s="14" t="str">
        <f>'2º TRIMESTRE'!I79</f>
        <v>6-005/22</v>
      </c>
      <c r="J79" s="44">
        <f>'2º TRIMESTRE'!J79</f>
        <v>44606</v>
      </c>
      <c r="K79" s="15">
        <f>'2º TRIMESTRE'!K79</f>
        <v>270</v>
      </c>
      <c r="L79" s="16">
        <f>'2º TRIMESTRE'!L79</f>
        <v>493303.08</v>
      </c>
      <c r="M79" s="44">
        <f>'2º TRIMESTRE'!M79</f>
        <v>44876</v>
      </c>
      <c r="N79" s="15">
        <f>'2º TRIMESTRE'!N79</f>
        <v>0</v>
      </c>
      <c r="O79" s="16">
        <f>'2º TRIMESTRE'!O79</f>
        <v>0</v>
      </c>
      <c r="P79" s="57">
        <f>'2º TRIMESTRE'!P79</f>
        <v>0</v>
      </c>
      <c r="Q79" s="15" t="str">
        <f>'2º TRIMESTRE'!Q79</f>
        <v>4.4.90.39</v>
      </c>
      <c r="R79" s="195">
        <f>'2º TRIMESTRE'!R79+134942.48</f>
        <v>286070.39</v>
      </c>
      <c r="S79" s="195">
        <v>195498.3</v>
      </c>
      <c r="T79" s="195">
        <f>'2º TRIMESTRE'!T79+S79</f>
        <v>250562.93</v>
      </c>
      <c r="U79" s="195">
        <f>'2º TRIMESTRE'!U79+S79</f>
        <v>250562.93</v>
      </c>
      <c r="V79" s="15" t="str">
        <f>'2º TRIMESTRE'!V79</f>
        <v>andamento</v>
      </c>
      <c r="W79" s="41"/>
      <c r="X79" s="41"/>
      <c r="Y79" s="41"/>
      <c r="Z79" s="38"/>
    </row>
    <row r="80" spans="1:26" ht="42.75">
      <c r="A80" s="14" t="str">
        <f>'2º TRIMESTRE'!A80</f>
        <v>CREDENCIAMENTO Licitação: 001/2021</v>
      </c>
      <c r="B80" s="14" t="str">
        <f>'2º TRIMESTRE'!B80</f>
        <v>CREDENCIAMENTO DE EMPRESA ESPECIALIZADA EM ENGENHARIA SANITÁRIA PARA RECOLHIMENTO, TRATAMENTO E DISPOSIÇÃO FINAL AMBIENTALMENTE CORRETO DE LÍQUIDOS ORIUNDOS DO ATERRO DESATIVADO DA MURIBECA SOB RESPONSABILIDADE DA EMLURB</v>
      </c>
      <c r="C80" s="14">
        <f>'2º TRIMESTRE'!C80</f>
        <v>0</v>
      </c>
      <c r="D80" s="14">
        <f>'2º TRIMESTRE'!D80</f>
        <v>0</v>
      </c>
      <c r="E80" s="16">
        <f>'2º TRIMESTRE'!E80</f>
        <v>0</v>
      </c>
      <c r="F80" s="16">
        <f>'2º TRIMESTRE'!F80</f>
        <v>0</v>
      </c>
      <c r="G80" s="14" t="str">
        <f>'2º TRIMESTRE'!G80</f>
        <v>08.165.091/0002-08</v>
      </c>
      <c r="H80" s="14" t="str">
        <f>'2º TRIMESTRE'!H80</f>
        <v>ECOPESA AMBIENTAL S/A                   </v>
      </c>
      <c r="I80" s="14" t="str">
        <f>'2º TRIMESTRE'!I80</f>
        <v>6-006/22</v>
      </c>
      <c r="J80" s="44">
        <f>'2º TRIMESTRE'!J80</f>
        <v>44606</v>
      </c>
      <c r="K80" s="15">
        <f>'2º TRIMESTRE'!K80</f>
        <v>395</v>
      </c>
      <c r="L80" s="16">
        <f>'2º TRIMESTRE'!L80</f>
        <v>1392960</v>
      </c>
      <c r="M80" s="44">
        <f>'2º TRIMESTRE'!M80</f>
        <v>45001</v>
      </c>
      <c r="N80" s="15">
        <f>'2º TRIMESTRE'!N80</f>
        <v>0</v>
      </c>
      <c r="O80" s="16">
        <f>'2º TRIMESTRE'!O80+348240</f>
        <v>348240</v>
      </c>
      <c r="P80" s="57">
        <f>'2º TRIMESTRE'!P80</f>
        <v>0</v>
      </c>
      <c r="Q80" s="15" t="str">
        <f>'2º TRIMESTRE'!Q80</f>
        <v>3.3.90.39</v>
      </c>
      <c r="R80" s="195">
        <f>'2º TRIMESTRE'!R80+966191.88</f>
        <v>1741200</v>
      </c>
      <c r="S80" s="195">
        <v>0</v>
      </c>
      <c r="T80" s="195">
        <f>'2º TRIMESTRE'!T80+S80</f>
        <v>775008.1200000001</v>
      </c>
      <c r="U80" s="195">
        <f>'2º TRIMESTRE'!U80+S80</f>
        <v>775008.1200000001</v>
      </c>
      <c r="V80" s="15" t="str">
        <f>'2º TRIMESTRE'!V80</f>
        <v>andamento</v>
      </c>
      <c r="W80" s="41"/>
      <c r="X80" s="41"/>
      <c r="Y80" s="41"/>
      <c r="Z80" s="38"/>
    </row>
    <row r="81" spans="1:26" ht="42.75">
      <c r="A81" s="14" t="str">
        <f>'2º TRIMESTRE'!A81</f>
        <v>Tomada de Preço Licitação: 011/2021</v>
      </c>
      <c r="B81" s="14" t="str">
        <f>'2º TRIMESTRE'!B81</f>
        <v>CONTRATAÇÃO DE EMPRESA DE ENGENHARIA, ESPECIALIZADA EM ILUMINAÇÃO PÚBLICA, PARA FORNECIMENTO DE LUMINÁRIAS COM TECNOLOGIA LED RGB E REDE ELÉTRICA, PARA ILUMINAÇÃO CÊNICA DA PASSARELA JOANA BEZERRA.</v>
      </c>
      <c r="C81" s="14" t="str">
        <f>'2º TRIMESTRE'!C81</f>
        <v>532561/2020</v>
      </c>
      <c r="D81" s="14" t="str">
        <f>'2º TRIMESTRE'!D81</f>
        <v>FINISA</v>
      </c>
      <c r="E81" s="16">
        <f>'2º TRIMESTRE'!E81</f>
        <v>50000000</v>
      </c>
      <c r="F81" s="16">
        <f>'2º TRIMESTRE'!F81</f>
        <v>0</v>
      </c>
      <c r="G81" s="14" t="str">
        <f>'2º TRIMESTRE'!G81</f>
        <v>01.346.561/0001-00</v>
      </c>
      <c r="H81" s="14" t="str">
        <f>'2º TRIMESTRE'!H81</f>
        <v>VASCONCELOS E SANTOS LTDA</v>
      </c>
      <c r="I81" s="14" t="str">
        <f>'2º TRIMESTRE'!I81</f>
        <v>6-007/22</v>
      </c>
      <c r="J81" s="44">
        <f>'2º TRIMESTRE'!J81</f>
        <v>44610</v>
      </c>
      <c r="K81" s="15">
        <f>'2º TRIMESTRE'!K81</f>
        <v>150</v>
      </c>
      <c r="L81" s="16">
        <f>'2º TRIMESTRE'!L81</f>
        <v>811940.61</v>
      </c>
      <c r="M81" s="44">
        <f>'2º TRIMESTRE'!M81</f>
        <v>44760</v>
      </c>
      <c r="N81" s="15">
        <f>'2º TRIMESTRE'!N81+196</f>
        <v>196</v>
      </c>
      <c r="O81" s="16">
        <f>'2º TRIMESTRE'!O81</f>
        <v>0</v>
      </c>
      <c r="P81" s="57">
        <f>'2º TRIMESTRE'!P81</f>
        <v>0</v>
      </c>
      <c r="Q81" s="15" t="str">
        <f>'2º TRIMESTRE'!Q81</f>
        <v>4.4.90.39</v>
      </c>
      <c r="R81" s="195">
        <f>'2º TRIMESTRE'!R81+194109.45</f>
        <v>194109.45</v>
      </c>
      <c r="S81" s="195">
        <v>0</v>
      </c>
      <c r="T81" s="195">
        <f>'2º TRIMESTRE'!T81+S81</f>
        <v>0</v>
      </c>
      <c r="U81" s="195">
        <f>'2º TRIMESTRE'!U81+S81</f>
        <v>0</v>
      </c>
      <c r="V81" s="15" t="str">
        <f>'2º TRIMESTRE'!V81</f>
        <v>andamento</v>
      </c>
      <c r="W81" s="41"/>
      <c r="X81" s="41"/>
      <c r="Y81" s="41"/>
      <c r="Z81" s="38"/>
    </row>
    <row r="82" spans="1:26" ht="21">
      <c r="A82" s="14" t="str">
        <f>'2º TRIMESTRE'!A82</f>
        <v>CONCORRÊNCIA / nº 017/2021</v>
      </c>
      <c r="B82" s="14" t="str">
        <f>'2º TRIMESTRE'!B82</f>
        <v>IMPLANTAÇÃO DE TRECHO DE DRENAGEM DA RUA VINTE E UM DE ABRIL COM A RUA LÍDIA GUIMARÃES, EM AFOGADOS RECIE-PE</v>
      </c>
      <c r="C82" s="14">
        <f>'2º TRIMESTRE'!C82</f>
        <v>0</v>
      </c>
      <c r="D82" s="14">
        <f>'2º TRIMESTRE'!D82</f>
        <v>0</v>
      </c>
      <c r="E82" s="16">
        <f>'2º TRIMESTRE'!E82</f>
        <v>0</v>
      </c>
      <c r="F82" s="16">
        <f>'2º TRIMESTRE'!F82</f>
        <v>0</v>
      </c>
      <c r="G82" s="14" t="str">
        <f>'2º TRIMESTRE'!G82</f>
        <v>10.893.105/0001-70</v>
      </c>
      <c r="H82" s="14" t="str">
        <f>'2º TRIMESTRE'!H82</f>
        <v>AGILIS CONSTRUTORA LTDA</v>
      </c>
      <c r="I82" s="14" t="str">
        <f>'2º TRIMESTRE'!I82</f>
        <v>6-008/22</v>
      </c>
      <c r="J82" s="44">
        <f>'2º TRIMESTRE'!J82</f>
        <v>44615</v>
      </c>
      <c r="K82" s="15">
        <f>'2º TRIMESTRE'!K82</f>
        <v>180</v>
      </c>
      <c r="L82" s="16">
        <f>'2º TRIMESTRE'!L82</f>
        <v>477968.09</v>
      </c>
      <c r="M82" s="44">
        <f>'2º TRIMESTRE'!M82</f>
        <v>44795</v>
      </c>
      <c r="N82" s="15">
        <f>'2º TRIMESTRE'!N82</f>
        <v>0</v>
      </c>
      <c r="O82" s="16">
        <f>'2º TRIMESTRE'!O82</f>
        <v>54720.49</v>
      </c>
      <c r="P82" s="57">
        <f>'2º TRIMESTRE'!P82</f>
        <v>0</v>
      </c>
      <c r="Q82" s="15" t="str">
        <f>'2º TRIMESTRE'!Q82</f>
        <v>4.4.90.39</v>
      </c>
      <c r="R82" s="195">
        <f>'2º TRIMESTRE'!R82</f>
        <v>497738.57000000007</v>
      </c>
      <c r="S82" s="195">
        <v>0</v>
      </c>
      <c r="T82" s="195">
        <f>'2º TRIMESTRE'!T82+S82</f>
        <v>497738.57000000007</v>
      </c>
      <c r="U82" s="195">
        <f>'2º TRIMESTRE'!U82+S82</f>
        <v>497738.57000000007</v>
      </c>
      <c r="V82" s="15" t="s">
        <v>188</v>
      </c>
      <c r="W82" s="41"/>
      <c r="X82" s="41"/>
      <c r="Y82" s="41"/>
      <c r="Z82" s="38"/>
    </row>
    <row r="83" spans="1:26" ht="42.75">
      <c r="A83" s="14" t="str">
        <f>'2º TRIMESTRE'!A83</f>
        <v>CONCORRÊNCIA / nº 018/2021</v>
      </c>
      <c r="B83" s="14" t="str">
        <f>'2º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14" t="str">
        <f>'2º TRIMESTRE'!C83</f>
        <v>899753/2020</v>
      </c>
      <c r="D83" s="14" t="str">
        <f>'2º TRIMESTRE'!D83</f>
        <v>Emenda Parlamentar Federal</v>
      </c>
      <c r="E83" s="16">
        <f>'2º TRIMESTRE'!E83</f>
        <v>767341</v>
      </c>
      <c r="F83" s="16">
        <f>'2º TRIMESTRE'!F83</f>
        <v>8000</v>
      </c>
      <c r="G83" s="14" t="str">
        <f>'2º TRIMESTRE'!G83</f>
        <v>10.893.105/0001-70</v>
      </c>
      <c r="H83" s="14" t="str">
        <f>'2º TRIMESTRE'!H83</f>
        <v>AGILIS CONSTRUTORA LTDA</v>
      </c>
      <c r="I83" s="14" t="str">
        <f>'2º TRIMESTRE'!I83</f>
        <v>6-009/22</v>
      </c>
      <c r="J83" s="44">
        <f>'2º TRIMESTRE'!J83</f>
        <v>44630</v>
      </c>
      <c r="K83" s="15">
        <f>'2º TRIMESTRE'!K83</f>
        <v>180</v>
      </c>
      <c r="L83" s="16">
        <f>'2º TRIMESTRE'!L83</f>
        <v>730428.03</v>
      </c>
      <c r="M83" s="44">
        <f>'2º TRIMESTRE'!M83</f>
        <v>44810</v>
      </c>
      <c r="N83" s="15">
        <f>'2º TRIMESTRE'!N83+60</f>
        <v>60</v>
      </c>
      <c r="O83" s="16">
        <f>'2º TRIMESTRE'!O83</f>
        <v>0</v>
      </c>
      <c r="P83" s="57">
        <f>'2º TRIMESTRE'!P83</f>
        <v>0</v>
      </c>
      <c r="Q83" s="15" t="str">
        <f>'2º TRIMESTRE'!Q83</f>
        <v>4.4.90.39</v>
      </c>
      <c r="R83" s="195">
        <f>'2º TRIMESTRE'!R83</f>
        <v>0</v>
      </c>
      <c r="S83" s="195">
        <v>0</v>
      </c>
      <c r="T83" s="195">
        <f>'2º TRIMESTRE'!T83+S83</f>
        <v>0</v>
      </c>
      <c r="U83" s="195">
        <f>'2º TRIMESTRE'!U83+S83</f>
        <v>0</v>
      </c>
      <c r="V83" s="15" t="str">
        <f>'2º TRIMESTRE'!V83</f>
        <v>andamento</v>
      </c>
      <c r="W83" s="41"/>
      <c r="X83" s="41"/>
      <c r="Y83" s="41"/>
      <c r="Z83" s="38"/>
    </row>
    <row r="84" spans="1:26" ht="42.75">
      <c r="A84" s="14" t="str">
        <f>'2º TRIMESTRE'!A84</f>
        <v>Pregão Eletrônico Licitação: 002/2022</v>
      </c>
      <c r="B84" s="14" t="str">
        <f>'2º TRIMESTRE'!B84</f>
        <v>CONTRATAÇÃO DE PESSOA S JURÍDICA S ESPECIALIZADA EM ENGENHARIA SANITÁRIA PARA RECEBIMENTO, TRATAMENTO E DISPOSIÇÃO FINAL DE RESÍDUOS DE CONSTRUÇÃO RCC CLASSE A INERTE COLETADOS PELA EMLURB NO MUNICÍPIO DO RECIFE</v>
      </c>
      <c r="C84" s="14">
        <f>'2º TRIMESTRE'!C84</f>
        <v>0</v>
      </c>
      <c r="D84" s="14">
        <f>'2º TRIMESTRE'!D84</f>
        <v>0</v>
      </c>
      <c r="E84" s="16">
        <f>'2º TRIMESTRE'!E84</f>
        <v>0</v>
      </c>
      <c r="F84" s="16">
        <f>'2º TRIMESTRE'!F84</f>
        <v>0</v>
      </c>
      <c r="G84" s="14" t="str">
        <f>'2º TRIMESTRE'!G84</f>
        <v>10.877.732/0001-18</v>
      </c>
      <c r="H84" s="14" t="str">
        <f>'2º TRIMESTRE'!H84</f>
        <v>CICLO AMBIENTAL LTDA</v>
      </c>
      <c r="I84" s="14" t="str">
        <f>'2º TRIMESTRE'!I84</f>
        <v>6-012/22</v>
      </c>
      <c r="J84" s="44">
        <f>'2º TRIMESTRE'!J84</f>
        <v>44635</v>
      </c>
      <c r="K84" s="15">
        <f>'2º TRIMESTRE'!K84</f>
        <v>1890</v>
      </c>
      <c r="L84" s="16">
        <f>'2º TRIMESTRE'!L84</f>
        <v>28992600</v>
      </c>
      <c r="M84" s="44">
        <f>'2º TRIMESTRE'!M84</f>
        <v>46525</v>
      </c>
      <c r="N84" s="15">
        <f>'2º TRIMESTRE'!N84</f>
        <v>0</v>
      </c>
      <c r="O84" s="16">
        <f>'2º TRIMESTRE'!O84</f>
        <v>0</v>
      </c>
      <c r="P84" s="57">
        <f>'2º TRIMESTRE'!P84</f>
        <v>0</v>
      </c>
      <c r="Q84" s="15" t="str">
        <f>'2º TRIMESTRE'!Q84</f>
        <v>3.3.90.39</v>
      </c>
      <c r="R84" s="195">
        <f>'2º TRIMESTRE'!R84+1343673.18</f>
        <v>2309359.04</v>
      </c>
      <c r="S84" s="195">
        <v>1343673.18</v>
      </c>
      <c r="T84" s="195">
        <f>'2º TRIMESTRE'!T84+S84</f>
        <v>2309359.04</v>
      </c>
      <c r="U84" s="195">
        <f>'2º TRIMESTRE'!U84+S84</f>
        <v>2309359.04</v>
      </c>
      <c r="V84" s="15" t="str">
        <f>'2º TRIMESTRE'!V84</f>
        <v>andamento</v>
      </c>
      <c r="W84" s="41"/>
      <c r="X84" s="41"/>
      <c r="Y84" s="41"/>
      <c r="Z84" s="38"/>
    </row>
    <row r="85" spans="1:26" ht="53.25">
      <c r="A85" s="14" t="str">
        <f>'2º TRIMESTRE'!A85</f>
        <v>CONCORRÊNCIA / nº 018/2021</v>
      </c>
      <c r="B85" s="14" t="str">
        <f>'2º TRIMESTRE'!B85</f>
        <v>CONTRATAÇÃO DE EMPRESA ESPCIALIZADA NO RAMO DE ENGENHARIA PARA EXECUÇÃO DOS SERVIÇOS DE RECUPERAÇÃO DE REDE DE DRENAGEM E PAVIMENTAÇÃO DA RUA ACAJUTIBA, NO TRECHO ENTRE AS RUAS GÁLIA E PINTO FERREIRA, LOCALIZADAS NO BAIRRO DE BONGI, RECIFE - PE</v>
      </c>
      <c r="C85" s="14">
        <f>'2º TRIMESTRE'!C85</f>
        <v>0</v>
      </c>
      <c r="D85" s="14" t="str">
        <f>'2º TRIMESTRE'!D85</f>
        <v>Emenda Parlamentar Federal - TRANSFERÊNCIA  ESPECIAL - FELIPE CARRERA</v>
      </c>
      <c r="E85" s="16">
        <f>'2º TRIMESTRE'!E85</f>
        <v>3139993</v>
      </c>
      <c r="F85" s="16">
        <f>'2º TRIMESTRE'!F85</f>
        <v>0</v>
      </c>
      <c r="G85" s="14" t="str">
        <f>'2º TRIMESTRE'!G85</f>
        <v>03.608.944/0001-34</v>
      </c>
      <c r="H85" s="14" t="str">
        <f>'2º TRIMESTRE'!H85</f>
        <v>JEPAC CONSTRUCOES LTDA</v>
      </c>
      <c r="I85" s="14" t="str">
        <f>'2º TRIMESTRE'!I85</f>
        <v>6-013/22</v>
      </c>
      <c r="J85" s="44">
        <f>'2º TRIMESTRE'!J85</f>
        <v>44650</v>
      </c>
      <c r="K85" s="15">
        <f>'2º TRIMESTRE'!K85</f>
        <v>150</v>
      </c>
      <c r="L85" s="16">
        <f>'2º TRIMESTRE'!L85</f>
        <v>789983.51</v>
      </c>
      <c r="M85" s="44">
        <f>'2º TRIMESTRE'!M85</f>
        <v>44800</v>
      </c>
      <c r="N85" s="15">
        <f>'2º TRIMESTRE'!N85+121</f>
        <v>121</v>
      </c>
      <c r="O85" s="16">
        <f>'2º TRIMESTRE'!O85+81867.27</f>
        <v>81867.27</v>
      </c>
      <c r="P85" s="57">
        <f>'2º TRIMESTRE'!P85</f>
        <v>0</v>
      </c>
      <c r="Q85" s="15" t="str">
        <f>'2º TRIMESTRE'!Q85</f>
        <v>4.4.90.39</v>
      </c>
      <c r="R85" s="195">
        <f>'2º TRIMESTRE'!R85+336706.63</f>
        <v>664286</v>
      </c>
      <c r="S85" s="195">
        <v>548370.05</v>
      </c>
      <c r="T85" s="195">
        <f>'2º TRIMESTRE'!T85+S85</f>
        <v>664286</v>
      </c>
      <c r="U85" s="195">
        <f>'2º TRIMESTRE'!U85+S85</f>
        <v>664286</v>
      </c>
      <c r="V85" s="15" t="str">
        <f>'2º TRIMESTRE'!V85</f>
        <v>andamento</v>
      </c>
      <c r="W85" s="41"/>
      <c r="X85" s="41"/>
      <c r="Y85" s="41"/>
      <c r="Z85" s="38"/>
    </row>
    <row r="86" spans="1:26" ht="31.5">
      <c r="A86" s="14" t="str">
        <f>'2º TRIMESTRE'!A86</f>
        <v>CONCORRÊNCIA / nº 001/2021</v>
      </c>
      <c r="B86" s="14" t="str">
        <f>'2º TRIMESTRE'!B86</f>
        <v>CONTRATAÇÃO DE EMPRESA SANITÁRIA ESPECIALIZADA PARA A EXECUÇÃO DOS SERVIÇOS DE COLETA E LIMPEZA URBANA NO MUNICÍPIO DO RECIFE. LOTE 1- A</v>
      </c>
      <c r="C86" s="14">
        <f>'2º TRIMESTRE'!C86</f>
        <v>0</v>
      </c>
      <c r="D86" s="14">
        <f>'2º TRIMESTRE'!D86</f>
        <v>0</v>
      </c>
      <c r="E86" s="16">
        <f>'2º TRIMESTRE'!E86</f>
        <v>0</v>
      </c>
      <c r="F86" s="16">
        <f>'2º TRIMESTRE'!F86</f>
        <v>0</v>
      </c>
      <c r="G86" s="14" t="str">
        <f>'2º TRIMESTRE'!G86</f>
        <v>02.536.066/0015-21</v>
      </c>
      <c r="H86" s="14" t="str">
        <f>'2º TRIMESTRE'!H86</f>
        <v>VITAL ENGENHARIA AMBIENTAL S/A</v>
      </c>
      <c r="I86" s="14" t="str">
        <f>'2º TRIMESTRE'!I86</f>
        <v>6-014/22</v>
      </c>
      <c r="J86" s="44">
        <f>'2º TRIMESTRE'!J86</f>
        <v>44649</v>
      </c>
      <c r="K86" s="15">
        <f>'2º TRIMESTRE'!K86</f>
        <v>1825</v>
      </c>
      <c r="L86" s="16">
        <f>'2º TRIMESTRE'!L86</f>
        <v>201897816.06</v>
      </c>
      <c r="M86" s="44">
        <f>'2º TRIMESTRE'!M86</f>
        <v>46474</v>
      </c>
      <c r="N86" s="15">
        <f>'2º TRIMESTRE'!N86</f>
        <v>0</v>
      </c>
      <c r="O86" s="16">
        <f>'2º TRIMESTRE'!O86</f>
        <v>0</v>
      </c>
      <c r="P86" s="57">
        <f>'2º TRIMESTRE'!P86</f>
        <v>47481450.66999999</v>
      </c>
      <c r="Q86" s="15" t="str">
        <f>'2º TRIMESTRE'!Q86</f>
        <v>3.3.90.39</v>
      </c>
      <c r="R86" s="195">
        <f>'2º TRIMESTRE'!R86+9082598.61</f>
        <v>15129501.36</v>
      </c>
      <c r="S86" s="195">
        <v>9082598.61</v>
      </c>
      <c r="T86" s="195">
        <f>'2º TRIMESTRE'!T86+S86</f>
        <v>15129501.36</v>
      </c>
      <c r="U86" s="195">
        <f>'2º TRIMESTRE'!U86+S86</f>
        <v>15129501.36</v>
      </c>
      <c r="V86" s="15" t="str">
        <f>'2º TRIMESTRE'!V86</f>
        <v>andamento</v>
      </c>
      <c r="W86" s="41"/>
      <c r="X86" s="41"/>
      <c r="Y86" s="41"/>
      <c r="Z86" s="38"/>
    </row>
    <row r="87" spans="1:26" ht="31.5">
      <c r="A87" s="14" t="str">
        <f>'2º TRIMESTRE'!A87</f>
        <v>CONCORRÊNCIA / nº 001/2021</v>
      </c>
      <c r="B87" s="14" t="str">
        <f>'2º TRIMESTRE'!B87</f>
        <v>CONTRATAÇÃO DE EMPRESA SANITÁRIA ESPECIALIZADA PARA A EXECUÇÃO DOS SERVIÇOS DE COLETA E LIMPEZA URBANA NO MUNICÍPIO DO RECIFE. LOTE 1-B</v>
      </c>
      <c r="C87" s="14">
        <f>'2º TRIMESTRE'!C87</f>
        <v>0</v>
      </c>
      <c r="D87" s="14">
        <f>'2º TRIMESTRE'!D87</f>
        <v>0</v>
      </c>
      <c r="E87" s="16">
        <f>'2º TRIMESTRE'!E87</f>
        <v>0</v>
      </c>
      <c r="F87" s="16">
        <f>'2º TRIMESTRE'!F87</f>
        <v>0</v>
      </c>
      <c r="G87" s="14" t="str">
        <f>'2º TRIMESTRE'!G87</f>
        <v>12.854.865/0001-02</v>
      </c>
      <c r="H87" s="14" t="str">
        <f>'2º TRIMESTRE'!H87</f>
        <v>COELHO DE  ANDRADE ENGENHARIA LTDA</v>
      </c>
      <c r="I87" s="14" t="str">
        <f>'2º TRIMESTRE'!I87</f>
        <v>6-015/22</v>
      </c>
      <c r="J87" s="44">
        <f>'2º TRIMESTRE'!J87</f>
        <v>44649</v>
      </c>
      <c r="K87" s="15">
        <f>'2º TRIMESTRE'!K87</f>
        <v>1825</v>
      </c>
      <c r="L87" s="16">
        <f>'2º TRIMESTRE'!L87</f>
        <v>86512024.75</v>
      </c>
      <c r="M87" s="44">
        <f>'2º TRIMESTRE'!M87</f>
        <v>46474</v>
      </c>
      <c r="N87" s="15">
        <f>'2º TRIMESTRE'!N87</f>
        <v>0</v>
      </c>
      <c r="O87" s="16">
        <f>'2º TRIMESTRE'!O87</f>
        <v>0</v>
      </c>
      <c r="P87" s="57">
        <f>'2º TRIMESTRE'!P87</f>
        <v>20345696.980000004</v>
      </c>
      <c r="Q87" s="15" t="str">
        <f>'2º TRIMESTRE'!Q87</f>
        <v>3.3.90.39</v>
      </c>
      <c r="R87" s="195">
        <f>'2º TRIMESTRE'!R87+3892537.01</f>
        <v>6483974.619999999</v>
      </c>
      <c r="S87" s="195">
        <v>3892537.01</v>
      </c>
      <c r="T87" s="195">
        <f>'2º TRIMESTRE'!T87+S87</f>
        <v>6483974.619999999</v>
      </c>
      <c r="U87" s="195">
        <f>'2º TRIMESTRE'!U87+S87</f>
        <v>6483974.619999999</v>
      </c>
      <c r="V87" s="15" t="str">
        <f>'2º TRIMESTRE'!V87</f>
        <v>andamento</v>
      </c>
      <c r="W87" s="41"/>
      <c r="X87" s="41"/>
      <c r="Y87" s="41"/>
      <c r="Z87" s="38"/>
    </row>
    <row r="88" spans="1:26" ht="31.5">
      <c r="A88" s="14" t="str">
        <f>'2º TRIMESTRE'!A88</f>
        <v>CONCORRÊNCIA / nº 001/2021</v>
      </c>
      <c r="B88" s="14" t="str">
        <f>'2º TRIMESTRE'!B88</f>
        <v>CONTRATAÇÃO DE EMPRESA SANITÁRIA ESPECIALIZADA PARA A EXECUÇÃO DOS SERVIÇOS DE COLETA E LIMPEZA URBANA NO MUNICÍPIO DO RECIFE. LOTE 2- A</v>
      </c>
      <c r="C88" s="14">
        <f>'2º TRIMESTRE'!C88</f>
        <v>0</v>
      </c>
      <c r="D88" s="14">
        <f>'2º TRIMESTRE'!D88</f>
        <v>0</v>
      </c>
      <c r="E88" s="16">
        <f>'2º TRIMESTRE'!E88</f>
        <v>0</v>
      </c>
      <c r="F88" s="16">
        <f>'2º TRIMESTRE'!F88</f>
        <v>0</v>
      </c>
      <c r="G88" s="14" t="str">
        <f>'2º TRIMESTRE'!G88</f>
        <v>02.536.066/0015-21</v>
      </c>
      <c r="H88" s="14" t="str">
        <f>'2º TRIMESTRE'!H88</f>
        <v>VITAL ENGENHARIA AMBIENTAL S/A</v>
      </c>
      <c r="I88" s="14" t="str">
        <f>'2º TRIMESTRE'!I88</f>
        <v>6-016/22</v>
      </c>
      <c r="J88" s="44">
        <f>'2º TRIMESTRE'!J88</f>
        <v>44649</v>
      </c>
      <c r="K88" s="15">
        <f>'2º TRIMESTRE'!K88</f>
        <v>1825</v>
      </c>
      <c r="L88" s="16">
        <f>'2º TRIMESTRE'!L88</f>
        <v>480063123.51</v>
      </c>
      <c r="M88" s="44">
        <f>'2º TRIMESTRE'!M88</f>
        <v>46474</v>
      </c>
      <c r="N88" s="15">
        <f>'2º TRIMESTRE'!N88</f>
        <v>0</v>
      </c>
      <c r="O88" s="16">
        <f>'2º TRIMESTRE'!O88</f>
        <v>0</v>
      </c>
      <c r="P88" s="57">
        <f>'2º TRIMESTRE'!P88</f>
        <v>112521950.78999996</v>
      </c>
      <c r="Q88" s="15" t="str">
        <f>'2º TRIMESTRE'!Q88</f>
        <v>3.3.90.39</v>
      </c>
      <c r="R88" s="195">
        <f>'2º TRIMESTRE'!R88+24757596.82</f>
        <v>41098685.41</v>
      </c>
      <c r="S88" s="195">
        <v>24757596.82</v>
      </c>
      <c r="T88" s="195">
        <f>'2º TRIMESTRE'!T88+S88</f>
        <v>41098685.41</v>
      </c>
      <c r="U88" s="195">
        <f>'2º TRIMESTRE'!U88+S88</f>
        <v>41098685.41</v>
      </c>
      <c r="V88" s="15" t="str">
        <f>'2º TRIMESTRE'!V88</f>
        <v>andamento</v>
      </c>
      <c r="W88" s="41"/>
      <c r="X88" s="41"/>
      <c r="Y88" s="41"/>
      <c r="Z88" s="38"/>
    </row>
    <row r="89" spans="1:26" ht="31.5">
      <c r="A89" s="14" t="str">
        <f>'2º TRIMESTRE'!A89</f>
        <v>CONCORRÊNCIA / nº 001/2021</v>
      </c>
      <c r="B89" s="14" t="str">
        <f>'2º TRIMESTRE'!B89</f>
        <v>CONTRATAÇÃO DE EMPRESA SANITÁRIA ESPECIALIZADA PARA A EXECUÇÃO DOS SERVIÇOS DE COLETA E LIMPEZA URBANA NO MUNICÍPIO DO RECIFE. LOTE 2-B</v>
      </c>
      <c r="C89" s="14">
        <f>'2º TRIMESTRE'!C89</f>
        <v>0</v>
      </c>
      <c r="D89" s="14">
        <f>'2º TRIMESTRE'!D89</f>
        <v>0</v>
      </c>
      <c r="E89" s="16">
        <f>'2º TRIMESTRE'!E89</f>
        <v>0</v>
      </c>
      <c r="F89" s="16">
        <f>'2º TRIMESTRE'!F89</f>
        <v>0</v>
      </c>
      <c r="G89" s="14" t="str">
        <f>'2º TRIMESTRE'!G89</f>
        <v>12.854.865/0001-02</v>
      </c>
      <c r="H89" s="14" t="str">
        <f>'2º TRIMESTRE'!H89</f>
        <v>COELHO DE  ANDRADE ENGENHARIA LTDA</v>
      </c>
      <c r="I89" s="14" t="str">
        <f>'2º TRIMESTRE'!I89</f>
        <v>6-017/22</v>
      </c>
      <c r="J89" s="44">
        <f>'2º TRIMESTRE'!J89</f>
        <v>44649</v>
      </c>
      <c r="K89" s="15">
        <f>'2º TRIMESTRE'!K89</f>
        <v>1825</v>
      </c>
      <c r="L89" s="16">
        <f>'2º TRIMESTRE'!L89</f>
        <v>205730360.58</v>
      </c>
      <c r="M89" s="44">
        <f>'2º TRIMESTRE'!M89</f>
        <v>46474</v>
      </c>
      <c r="N89" s="15">
        <f>'2º TRIMESTRE'!N89</f>
        <v>0</v>
      </c>
      <c r="O89" s="16">
        <f>'2º TRIMESTRE'!O89</f>
        <v>0</v>
      </c>
      <c r="P89" s="57">
        <f>'2º TRIMESTRE'!P89</f>
        <v>48221861.129999995</v>
      </c>
      <c r="Q89" s="15" t="str">
        <f>'2º TRIMESTRE'!Q89</f>
        <v>3.3.90.39</v>
      </c>
      <c r="R89" s="195">
        <f>'2º TRIMESTRE'!R89+10611016.42</f>
        <v>17614237.41</v>
      </c>
      <c r="S89" s="195">
        <v>10611016.42</v>
      </c>
      <c r="T89" s="195">
        <f>'2º TRIMESTRE'!T89+S89</f>
        <v>17614237.41</v>
      </c>
      <c r="U89" s="195">
        <f>'2º TRIMESTRE'!U89+S89</f>
        <v>17614237.41</v>
      </c>
      <c r="V89" s="15" t="str">
        <f>'2º TRIMESTRE'!V89</f>
        <v>andamento</v>
      </c>
      <c r="W89" s="41"/>
      <c r="X89" s="41"/>
      <c r="Y89" s="41"/>
      <c r="Z89" s="38"/>
    </row>
    <row r="90" spans="1:26" ht="42.75">
      <c r="A90" s="14" t="str">
        <f>'2º TRIMESTRE'!A90</f>
        <v>CONCORRÊNCIA / nº 021/2021</v>
      </c>
      <c r="B90" s="14" t="str">
        <f>'2º TRIMESTRE'!B90</f>
        <v>CONTRATAÇÃO DE EMPRESA DE ENGENHARIA, ESPECIALIZADA EM ILUMINAÇÃO PÚBLICA, PARA FORNECIMENTO E INSTALAÇÃO DE LUMINÁRIAS RGB COM TECNOLOGIA LED E REDE ELÉTRICA, PARA ILUMINAÇÃO CÊNICA, DO TEATRO SANTA IZABEL BAIRRO SANTO ANTÔNIO</v>
      </c>
      <c r="C90" s="14" t="str">
        <f>'2º TRIMESTRE'!C90</f>
        <v>532561/2020</v>
      </c>
      <c r="D90" s="14" t="str">
        <f>'2º TRIMESTRE'!D90</f>
        <v>FINISA</v>
      </c>
      <c r="E90" s="16">
        <f>'2º TRIMESTRE'!E90</f>
        <v>50000000</v>
      </c>
      <c r="F90" s="16">
        <f>'2º TRIMESTRE'!F90</f>
        <v>0</v>
      </c>
      <c r="G90" s="14" t="str">
        <f>'2º TRIMESTRE'!G90</f>
        <v>01.346.561/0001-00</v>
      </c>
      <c r="H90" s="14" t="str">
        <f>'2º TRIMESTRE'!H90</f>
        <v>VASCONCELOS E SANTOS LTDA</v>
      </c>
      <c r="I90" s="14" t="str">
        <f>'2º TRIMESTRE'!I90</f>
        <v>6-019/22</v>
      </c>
      <c r="J90" s="44">
        <f>'2º TRIMESTRE'!J90</f>
        <v>44651</v>
      </c>
      <c r="K90" s="15">
        <f>'2º TRIMESTRE'!K90</f>
        <v>150</v>
      </c>
      <c r="L90" s="16">
        <f>'2º TRIMESTRE'!L90</f>
        <v>306496.2</v>
      </c>
      <c r="M90" s="44">
        <f>'2º TRIMESTRE'!M90</f>
        <v>44801</v>
      </c>
      <c r="N90" s="15">
        <f>'2º TRIMESTRE'!N90</f>
        <v>0</v>
      </c>
      <c r="O90" s="16">
        <f>'2º TRIMESTRE'!O90</f>
        <v>0</v>
      </c>
      <c r="P90" s="57">
        <f>'2º TRIMESTRE'!P90</f>
        <v>0</v>
      </c>
      <c r="Q90" s="15" t="str">
        <f>'2º TRIMESTRE'!Q90</f>
        <v>4.4.90.39</v>
      </c>
      <c r="R90" s="195">
        <f>'2º TRIMESTRE'!R90</f>
        <v>0</v>
      </c>
      <c r="S90" s="195"/>
      <c r="T90" s="195">
        <f>'2º TRIMESTRE'!T90+S90</f>
        <v>0</v>
      </c>
      <c r="U90" s="195">
        <f>'2º TRIMESTRE'!U90+S90</f>
        <v>0</v>
      </c>
      <c r="V90" s="15" t="str">
        <f>'2º TRIMESTRE'!V90</f>
        <v>andamento</v>
      </c>
      <c r="W90" s="41"/>
      <c r="X90" s="41"/>
      <c r="Y90" s="41"/>
      <c r="Z90" s="38"/>
    </row>
    <row r="91" spans="1:26" ht="31.5">
      <c r="A91" s="14" t="str">
        <f>'2º TRIMESTRE'!A91</f>
        <v>CONCORRÊNCIA / Nº 013/2021</v>
      </c>
      <c r="B91" s="14" t="str">
        <f>'2º TRIMESTRE'!B91</f>
        <v>CONTRATAÇÃO DE EMPRESA DE PRODUÇÃO DE ARTES E ILUMINAÇÃO CÊNICA PARA EXECUÇÃO DOS SERVIÇOS DE VÍDEO MAPPING E PROJEÇÃO HOLOGRÁFICA EM CORTINA D`ÁGUA NO RIO CAPIBARIBE</v>
      </c>
      <c r="C91" s="14">
        <f>'2º TRIMESTRE'!C91</f>
        <v>0</v>
      </c>
      <c r="D91" s="14">
        <f>'2º TRIMESTRE'!D91</f>
        <v>0</v>
      </c>
      <c r="E91" s="16">
        <f>'2º TRIMESTRE'!E91</f>
        <v>0</v>
      </c>
      <c r="F91" s="16">
        <f>'2º TRIMESTRE'!F91</f>
        <v>0</v>
      </c>
      <c r="G91" s="14" t="str">
        <f>'2º TRIMESTRE'!G91</f>
        <v>20.165.281/0001-40</v>
      </c>
      <c r="H91" s="14" t="str">
        <f>'2º TRIMESTRE'!H91</f>
        <v>TNP PRODUCOES DE EVENTOS LTDA</v>
      </c>
      <c r="I91" s="14" t="str">
        <f>'2º TRIMESTRE'!I91</f>
        <v>6-064/21</v>
      </c>
      <c r="J91" s="44">
        <f>'2º TRIMESTRE'!J91</f>
        <v>44559</v>
      </c>
      <c r="K91" s="15">
        <f>'2º TRIMESTRE'!K91</f>
        <v>760</v>
      </c>
      <c r="L91" s="16">
        <f>'2º TRIMESTRE'!L91</f>
        <v>2227129.66</v>
      </c>
      <c r="M91" s="44">
        <f>'2º TRIMESTRE'!M91</f>
        <v>45319</v>
      </c>
      <c r="N91" s="15">
        <f>'2º TRIMESTRE'!N91</f>
        <v>0</v>
      </c>
      <c r="O91" s="16">
        <f>'2º TRIMESTRE'!O91</f>
        <v>237561.68</v>
      </c>
      <c r="P91" s="57">
        <f>'2º TRIMESTRE'!P91</f>
        <v>0</v>
      </c>
      <c r="Q91" s="15" t="str">
        <f>'2º TRIMESTRE'!Q91</f>
        <v>4.4.90.39</v>
      </c>
      <c r="R91" s="195">
        <f>'2º TRIMESTRE'!R91+354587.52</f>
        <v>859657.3500000001</v>
      </c>
      <c r="S91" s="195">
        <v>354587.52</v>
      </c>
      <c r="T91" s="195">
        <f>'2º TRIMESTRE'!T91+S91</f>
        <v>859657.3500000001</v>
      </c>
      <c r="U91" s="195">
        <f>'2º TRIMESTRE'!U91+S91</f>
        <v>859657.3500000001</v>
      </c>
      <c r="V91" s="15" t="str">
        <f>'2º TRIMESTRE'!V91</f>
        <v>andamento</v>
      </c>
      <c r="W91" s="41"/>
      <c r="X91" s="41"/>
      <c r="Y91" s="41"/>
      <c r="Z91" s="38"/>
    </row>
    <row r="92" spans="1:26" ht="42.75">
      <c r="A92" s="14" t="str">
        <f>'2º TRIMESTRE'!A92</f>
        <v>TOMADA DE PREÇOS Licitação: 008/2021</v>
      </c>
      <c r="B92" s="14" t="str">
        <f>'2º TRIMESTRE'!B92</f>
        <v>SERVIÇOS DE IMPLANTAÇÃO DE PAVIMENTAÇÃO, DRENAGEM, ACESSIBILIDADE E SINALIZAÇÃO DA RUA FRANCISCO VITA TRECHO, ENTRE A AV. CAXANGA E A RUA ALAIDE LOCALIZADA NO BAIRRO DO CORDEIRO NA CIDADE DO RECIFE PE</v>
      </c>
      <c r="C92" s="14">
        <f>'2º TRIMESTRE'!C92</f>
        <v>0</v>
      </c>
      <c r="D92" s="14">
        <f>'2º TRIMESTRE'!D92</f>
        <v>0</v>
      </c>
      <c r="E92" s="16">
        <f>'2º TRIMESTRE'!E92</f>
        <v>0</v>
      </c>
      <c r="F92" s="16">
        <f>'2º TRIMESTRE'!F92</f>
        <v>0</v>
      </c>
      <c r="G92" s="14" t="str">
        <f>'2º TRIMESTRE'!G92</f>
        <v>11.481.173/0001-95</v>
      </c>
      <c r="H92" s="14" t="str">
        <f>'2º TRIMESTRE'!H92</f>
        <v>ETNA ENGENHARIA E TERRAPLANAGEM NACIONAL LTDA</v>
      </c>
      <c r="I92" s="14" t="str">
        <f>'2º TRIMESTRE'!I92</f>
        <v>6-062/21</v>
      </c>
      <c r="J92" s="44">
        <f>'2º TRIMESTRE'!J92</f>
        <v>44607</v>
      </c>
      <c r="K92" s="15">
        <f>'2º TRIMESTRE'!K92</f>
        <v>180</v>
      </c>
      <c r="L92" s="16">
        <f>'2º TRIMESTRE'!L92</f>
        <v>836036.43</v>
      </c>
      <c r="M92" s="44">
        <f>'2º TRIMESTRE'!M92</f>
        <v>44877</v>
      </c>
      <c r="N92" s="15">
        <f>'2º TRIMESTRE'!N92</f>
        <v>90</v>
      </c>
      <c r="O92" s="16">
        <f>'2º TRIMESTRE'!O92</f>
        <v>0</v>
      </c>
      <c r="P92" s="57">
        <f>'2º TRIMESTRE'!P92</f>
        <v>-6526.52</v>
      </c>
      <c r="Q92" s="15" t="str">
        <f>'2º TRIMESTRE'!Q92</f>
        <v>4.4.90.39</v>
      </c>
      <c r="R92" s="195">
        <f>'2º TRIMESTRE'!R92</f>
        <v>0</v>
      </c>
      <c r="S92" s="195"/>
      <c r="T92" s="195">
        <f>'2º TRIMESTRE'!T92+S92</f>
        <v>0</v>
      </c>
      <c r="U92" s="195">
        <f>'2º TRIMESTRE'!U92+S92</f>
        <v>0</v>
      </c>
      <c r="V92" s="15" t="str">
        <f>'2º TRIMESTRE'!V92</f>
        <v>andamento</v>
      </c>
      <c r="W92" s="41"/>
      <c r="X92" s="41"/>
      <c r="Y92" s="41"/>
      <c r="Z92" s="38"/>
    </row>
    <row r="93" spans="1:26" ht="42.75">
      <c r="A93" s="14" t="str">
        <f>'2º TRIMESTRE'!A93</f>
        <v>CONCORRÊNCIA / Nº 005/2021</v>
      </c>
      <c r="B93" s="14" t="str">
        <f>'2º TRIMESTRE'!B93</f>
        <v>CONTRATAÇÃO DE EMPRESA DE ENGENHARIA ESPECIALIZADA EM ILUMINAÇÃO PÚBLICA PARA REALIZAÇÃO DE MANUTENÇÃO PREVENTIVA E CORRETIVA DO SISTEMA DE ILUMINAÇÃO PÚBLICA ESPECIAL DO MUNICÍPIO DO RECIFE</v>
      </c>
      <c r="C93" s="14">
        <f>'2º TRIMESTRE'!C93</f>
        <v>0</v>
      </c>
      <c r="D93" s="14">
        <f>'2º TRIMESTRE'!D93</f>
        <v>0</v>
      </c>
      <c r="E93" s="16">
        <f>'2º TRIMESTRE'!E93</f>
        <v>0</v>
      </c>
      <c r="F93" s="16">
        <f>'2º TRIMESTRE'!F93</f>
        <v>0</v>
      </c>
      <c r="G93" s="14" t="str">
        <f>'2º TRIMESTRE'!G93</f>
        <v>41.116.138/0001-38</v>
      </c>
      <c r="H93" s="14" t="str">
        <f>'2º TRIMESTRE'!H93</f>
        <v>REAL ENERGY LTDA</v>
      </c>
      <c r="I93" s="14" t="str">
        <f>'2º TRIMESTRE'!I93</f>
        <v>6-040/21</v>
      </c>
      <c r="J93" s="44">
        <f>'2º TRIMESTRE'!J93</f>
        <v>44469</v>
      </c>
      <c r="K93" s="15">
        <f>'2º TRIMESTRE'!K93</f>
        <v>920</v>
      </c>
      <c r="L93" s="16">
        <f>'2º TRIMESTRE'!L93</f>
        <v>1730333.68</v>
      </c>
      <c r="M93" s="44">
        <f>'2º TRIMESTRE'!M93</f>
        <v>45389</v>
      </c>
      <c r="N93" s="15">
        <f>'2º TRIMESTRE'!N93</f>
        <v>0</v>
      </c>
      <c r="O93" s="16">
        <f>'2º TRIMESTRE'!O93</f>
        <v>0</v>
      </c>
      <c r="P93" s="57">
        <f>'2º TRIMESTRE'!P93</f>
        <v>0</v>
      </c>
      <c r="Q93" s="15" t="str">
        <f>'2º TRIMESTRE'!Q93</f>
        <v>3.390.39</v>
      </c>
      <c r="R93" s="195">
        <f>'2º TRIMESTRE'!R93+227329.97</f>
        <v>444786.36</v>
      </c>
      <c r="S93" s="195">
        <v>227329.97</v>
      </c>
      <c r="T93" s="195">
        <f>'2º TRIMESTRE'!T93+S93</f>
        <v>444786.36</v>
      </c>
      <c r="U93" s="195">
        <f>'2º TRIMESTRE'!U93+S93</f>
        <v>444786.36</v>
      </c>
      <c r="V93" s="15" t="str">
        <f>'2º TRIMESTRE'!V93</f>
        <v>andamento</v>
      </c>
      <c r="W93" s="41"/>
      <c r="X93" s="41"/>
      <c r="Y93" s="41"/>
      <c r="Z93" s="38"/>
    </row>
    <row r="94" spans="1:26" ht="42.75">
      <c r="A94" s="14" t="str">
        <f>'2º TRIMESTRE'!A94</f>
        <v>PREGÃO ELETRÔNICO Licitação: 006/2022</v>
      </c>
      <c r="B94" s="14" t="str">
        <f>'2º TRIMESTRE'!B94</f>
        <v>CONTRATAÇÃO DE EMPRESA ESPECIALIZADA EM SERVIÇOS DE ENGENHARIA AGRONÔMICA COM FINS DE EXECUÇÃO DE SERVIÇOS DE MANUTENÇÃO DO ARBORETO URBANO DAS VIAS PÚBLICAS, PARQUES, PRAÇAS E DEMAIS ÁREAS VERDES DA CIDADE DO RECIFE</v>
      </c>
      <c r="C94" s="14">
        <f>'2º TRIMESTRE'!C94</f>
        <v>0</v>
      </c>
      <c r="D94" s="14">
        <f>'2º TRIMESTRE'!D94</f>
        <v>0</v>
      </c>
      <c r="E94" s="16">
        <f>'2º TRIMESTRE'!E94</f>
        <v>0</v>
      </c>
      <c r="F94" s="16">
        <f>'2º TRIMESTRE'!F94</f>
        <v>0</v>
      </c>
      <c r="G94" s="14" t="str">
        <f>'2º TRIMESTRE'!G94</f>
        <v>00.449.936/0001-02</v>
      </c>
      <c r="H94" s="14" t="str">
        <f>'2º TRIMESTRE'!H94</f>
        <v>ENGEMAIA E CIA LTDA</v>
      </c>
      <c r="I94" s="14" t="str">
        <f>'2º TRIMESTRE'!I94</f>
        <v>6-020/22</v>
      </c>
      <c r="J94" s="44">
        <f>'2º TRIMESTRE'!J94</f>
        <v>44678</v>
      </c>
      <c r="K94" s="15">
        <f>'2º TRIMESTRE'!K94</f>
        <v>1216</v>
      </c>
      <c r="L94" s="16">
        <f>'2º TRIMESTRE'!L94</f>
        <v>56414995.56</v>
      </c>
      <c r="M94" s="44">
        <f>'2º TRIMESTRE'!M94</f>
        <v>45894</v>
      </c>
      <c r="N94" s="15">
        <f>'2º TRIMESTRE'!N94</f>
        <v>0</v>
      </c>
      <c r="O94" s="16">
        <f>'2º TRIMESTRE'!O94</f>
        <v>0</v>
      </c>
      <c r="P94" s="57">
        <f>'2º TRIMESTRE'!P94</f>
        <v>0</v>
      </c>
      <c r="Q94" s="15" t="str">
        <f>'2º TRIMESTRE'!Q94</f>
        <v>3.3.90.39</v>
      </c>
      <c r="R94" s="195">
        <f>'2º TRIMESTRE'!R94+4616078.22</f>
        <v>4616078.22</v>
      </c>
      <c r="S94" s="195">
        <v>4616078.22</v>
      </c>
      <c r="T94" s="195">
        <f>'2º TRIMESTRE'!T94+S94</f>
        <v>4616078.22</v>
      </c>
      <c r="U94" s="195">
        <f>'2º TRIMESTRE'!U94+S94</f>
        <v>4616078.22</v>
      </c>
      <c r="V94" s="15" t="str">
        <f>'2º TRIMESTRE'!V94</f>
        <v>andamento</v>
      </c>
      <c r="W94" s="41"/>
      <c r="X94" s="41"/>
      <c r="Y94" s="41"/>
      <c r="Z94" s="38"/>
    </row>
    <row r="95" spans="1:26" ht="31.5">
      <c r="A95" s="14" t="str">
        <f>'2º TRIMESTRE'!A95</f>
        <v>PREGÃO ELETRÔNICO Licitação: 014/2022</v>
      </c>
      <c r="B95" s="14" t="str">
        <f>'2º TRIMESTRE'!B95</f>
        <v>CONTRATAÇÃO DE EMPRESA DE ENGENHARIA CIVIL PARA A EXECUÇÃO DE SERVIÇOS DE REQUALIFICAÇÃO, MANUTENÇÃO PREVENTIVA E CORRETIVA DOS EQUIPAMENTOS ESPORTIVOS NA ORLA DE BOA VIAGEM</v>
      </c>
      <c r="C95" s="14">
        <f>'2º TRIMESTRE'!C95</f>
        <v>0</v>
      </c>
      <c r="D95" s="14">
        <f>'2º TRIMESTRE'!D95</f>
        <v>0</v>
      </c>
      <c r="E95" s="16">
        <f>'2º TRIMESTRE'!E95</f>
        <v>0</v>
      </c>
      <c r="F95" s="16">
        <f>'2º TRIMESTRE'!F95</f>
        <v>0</v>
      </c>
      <c r="G95" s="14" t="str">
        <f>'2º TRIMESTRE'!G95</f>
        <v>10.698.641/0001-15</v>
      </c>
      <c r="H95" s="14" t="str">
        <f>'2º TRIMESTRE'!H95</f>
        <v>CONSTRUTORA MASTER EIRELI ME</v>
      </c>
      <c r="I95" s="14" t="str">
        <f>'2º TRIMESTRE'!I95</f>
        <v>6-021/22</v>
      </c>
      <c r="J95" s="44">
        <f>'2º TRIMESTRE'!J95</f>
        <v>44687</v>
      </c>
      <c r="K95" s="15">
        <f>'2º TRIMESTRE'!K95</f>
        <v>150</v>
      </c>
      <c r="L95" s="16">
        <f>'2º TRIMESTRE'!L95</f>
        <v>999000</v>
      </c>
      <c r="M95" s="44">
        <f>'2º TRIMESTRE'!M95</f>
        <v>44837</v>
      </c>
      <c r="N95" s="15">
        <f>'2º TRIMESTRE'!N95</f>
        <v>0</v>
      </c>
      <c r="O95" s="16">
        <f>'2º TRIMESTRE'!O95</f>
        <v>0</v>
      </c>
      <c r="P95" s="57">
        <f>'2º TRIMESTRE'!P95</f>
        <v>0</v>
      </c>
      <c r="Q95" s="15" t="str">
        <f>'2º TRIMESTRE'!Q95</f>
        <v>4.4.90.39</v>
      </c>
      <c r="R95" s="195">
        <f>'2º TRIMESTRE'!R95+647785.59</f>
        <v>647785.59</v>
      </c>
      <c r="S95" s="195">
        <v>647785.59</v>
      </c>
      <c r="T95" s="195">
        <f>'2º TRIMESTRE'!T95+S95</f>
        <v>647785.59</v>
      </c>
      <c r="U95" s="195">
        <f>'2º TRIMESTRE'!U95+S95</f>
        <v>647785.59</v>
      </c>
      <c r="V95" s="15" t="str">
        <f>'2º TRIMESTRE'!V95</f>
        <v>andamento</v>
      </c>
      <c r="W95" s="41"/>
      <c r="X95" s="41"/>
      <c r="Y95" s="41"/>
      <c r="Z95" s="38"/>
    </row>
    <row r="96" spans="1:26" ht="53.25">
      <c r="A96" s="14" t="str">
        <f>'2º TRIMESTRE'!A96</f>
        <v>TOMADA DE PREÇOS Licitação: 001/2022</v>
      </c>
      <c r="B96" s="14" t="str">
        <f>'2º TRIMESTRE'!B96</f>
        <v>REFORMA DE DOIS PRÉDIOS PÚBLICOS MANTIDOS PELA EMLURB, REFORMA COM AMPLIAÇÃO PARA IMPLANTAÇÃO DO SETOR DE FISCALIZAÇÃO STFI , 2 E 3, LOCALIZADA NA RUA JOUBERTE CARVALHO, CASA AMARELA E DIVISÃO DE FISCALIZAÇÃO DVFI 4 E 5 LOCALIZADO NO PARQUE DO CAIARA, AV. MAURÍCIO DE NASSAU, 68 IPUTINGA, RECIFE</v>
      </c>
      <c r="C96" s="14">
        <f>'2º TRIMESTRE'!C96</f>
        <v>0</v>
      </c>
      <c r="D96" s="14">
        <f>'2º TRIMESTRE'!D96</f>
        <v>0</v>
      </c>
      <c r="E96" s="16">
        <f>'2º TRIMESTRE'!E96</f>
        <v>0</v>
      </c>
      <c r="F96" s="16">
        <f>'2º TRIMESTRE'!F96</f>
        <v>0</v>
      </c>
      <c r="G96" s="14" t="str">
        <f>'2º TRIMESTRE'!G96</f>
        <v>17.772.572/0001-91</v>
      </c>
      <c r="H96" s="14" t="str">
        <f>'2º TRIMESTRE'!H96</f>
        <v>CARVALHO PONTES ENGENHARIA LTDA - EPP</v>
      </c>
      <c r="I96" s="14" t="str">
        <f>'2º TRIMESTRE'!I96</f>
        <v>6-022/22</v>
      </c>
      <c r="J96" s="44">
        <f>'2º TRIMESTRE'!J96</f>
        <v>44694</v>
      </c>
      <c r="K96" s="15">
        <f>'2º TRIMESTRE'!K96</f>
        <v>240</v>
      </c>
      <c r="L96" s="16">
        <f>'2º TRIMESTRE'!L96</f>
        <v>570270.67</v>
      </c>
      <c r="M96" s="44">
        <f>'2º TRIMESTRE'!M96</f>
        <v>44934</v>
      </c>
      <c r="N96" s="15">
        <f>'2º TRIMESTRE'!N96</f>
        <v>0</v>
      </c>
      <c r="O96" s="16">
        <f>'2º TRIMESTRE'!O96</f>
        <v>0</v>
      </c>
      <c r="P96" s="57">
        <f>'2º TRIMESTRE'!P96</f>
        <v>0</v>
      </c>
      <c r="Q96" s="15" t="str">
        <f>'2º TRIMESTRE'!Q96</f>
        <v>4.4.90.39</v>
      </c>
      <c r="R96" s="195">
        <f>'2º TRIMESTRE'!R96</f>
        <v>0</v>
      </c>
      <c r="S96" s="195"/>
      <c r="T96" s="195">
        <f>'2º TRIMESTRE'!T96+S96</f>
        <v>0</v>
      </c>
      <c r="U96" s="195">
        <f>'2º TRIMESTRE'!U96+S96</f>
        <v>0</v>
      </c>
      <c r="V96" s="15" t="str">
        <f>'2º TRIMESTRE'!V96</f>
        <v>Cadastrado</v>
      </c>
      <c r="W96" s="41"/>
      <c r="X96" s="41"/>
      <c r="Y96" s="41"/>
      <c r="Z96" s="38"/>
    </row>
    <row r="97" spans="1:26" ht="53.25">
      <c r="A97" s="14" t="str">
        <f>'2º TRIMESTRE'!A97</f>
        <v>TOMADA DE PREÇOS Licitação: 003/2022</v>
      </c>
      <c r="B97" s="14" t="str">
        <f>'2º TRIMESTRE'!B97</f>
        <v>CONTRATAÇÃO DE EMPRESA ESPECIALIZADA NO RAMO DE ENGENHARIA PARA EXECUÇÃO DOS SERVIÇOS DE REQUALIFICAÇÃO DA PRAÇA ABELARDO BALTAR, PRAÇA BRASILIA FORMOSA E PRAÇA SÃO PEDRO LOCALIZADAS NA CIDADE DO RECIFE PE, DE ACORDO COM AS NORMAS PREVISTAS NESTE PROJETO BÁSICO E NA PLANILHA ORÇAMENTÁRIA</v>
      </c>
      <c r="C97" s="14">
        <f>'2º TRIMESTRE'!C97</f>
        <v>0</v>
      </c>
      <c r="D97" s="14">
        <f>'2º TRIMESTRE'!D97</f>
        <v>0</v>
      </c>
      <c r="E97" s="16">
        <f>'2º TRIMESTRE'!E97</f>
        <v>0</v>
      </c>
      <c r="F97" s="16">
        <f>'2º TRIMESTRE'!F97</f>
        <v>0</v>
      </c>
      <c r="G97" s="14" t="str">
        <f>'2º TRIMESTRE'!G97</f>
        <v>10.893.105/0001-70</v>
      </c>
      <c r="H97" s="14" t="str">
        <f>'2º TRIMESTRE'!H97</f>
        <v>AGILIS CONSTRUTORA LTDA</v>
      </c>
      <c r="I97" s="14" t="str">
        <f>'2º TRIMESTRE'!I97</f>
        <v>6-023/22</v>
      </c>
      <c r="J97" s="44">
        <f>'2º TRIMESTRE'!J97</f>
        <v>44713</v>
      </c>
      <c r="K97" s="15">
        <f>'2º TRIMESTRE'!K97</f>
        <v>180</v>
      </c>
      <c r="L97" s="16">
        <f>'2º TRIMESTRE'!L97</f>
        <v>157510.08</v>
      </c>
      <c r="M97" s="44">
        <f>'2º TRIMESTRE'!M97</f>
        <v>44893</v>
      </c>
      <c r="N97" s="15">
        <f>'2º TRIMESTRE'!N97</f>
        <v>0</v>
      </c>
      <c r="O97" s="16">
        <f>'2º TRIMESTRE'!O97</f>
        <v>0</v>
      </c>
      <c r="P97" s="57">
        <f>'2º TRIMESTRE'!P97+-107.76</f>
        <v>-107.76</v>
      </c>
      <c r="Q97" s="15" t="str">
        <f>'2º TRIMESTRE'!Q97</f>
        <v>4.4.90.39</v>
      </c>
      <c r="R97" s="195">
        <f>'2º TRIMESTRE'!R97</f>
        <v>0</v>
      </c>
      <c r="S97" s="195"/>
      <c r="T97" s="195">
        <f>'2º TRIMESTRE'!T97+S97</f>
        <v>0</v>
      </c>
      <c r="U97" s="195">
        <f>'2º TRIMESTRE'!U97+S97</f>
        <v>0</v>
      </c>
      <c r="V97" s="15" t="str">
        <f>'2º TRIMESTRE'!V97</f>
        <v>andamento</v>
      </c>
      <c r="W97" s="41"/>
      <c r="X97" s="41"/>
      <c r="Y97" s="41"/>
      <c r="Z97" s="38"/>
    </row>
    <row r="98" spans="1:26" ht="31.5">
      <c r="A98" s="14" t="str">
        <f>'2º TRIMESTRE'!A98</f>
        <v>PREGÃO ELETRÔNICO Licitação: 010/2022</v>
      </c>
      <c r="B98" s="14" t="str">
        <f>'2º TRIMESTRE'!B98</f>
        <v>REQUALIFICAÇÃO DO PARQUE APIPUCOS E DO SEU ENTORNO</v>
      </c>
      <c r="C98" s="14">
        <f>'2º TRIMESTRE'!C98</f>
        <v>0</v>
      </c>
      <c r="D98" s="14">
        <f>'2º TRIMESTRE'!D98</f>
        <v>0</v>
      </c>
      <c r="E98" s="16">
        <f>'2º TRIMESTRE'!E98</f>
        <v>0</v>
      </c>
      <c r="F98" s="16">
        <f>'2º TRIMESTRE'!F98</f>
        <v>0</v>
      </c>
      <c r="G98" s="14" t="str">
        <f>'2º TRIMESTRE'!G98</f>
        <v>41.116.138/0001-38</v>
      </c>
      <c r="H98" s="14" t="str">
        <f>'2º TRIMESTRE'!H98</f>
        <v>REAL ENERGY LTDA</v>
      </c>
      <c r="I98" s="14" t="str">
        <f>'2º TRIMESTRE'!I98</f>
        <v>6-024/22</v>
      </c>
      <c r="J98" s="44">
        <f>'2º TRIMESTRE'!J98</f>
        <v>44697</v>
      </c>
      <c r="K98" s="15">
        <f>'2º TRIMESTRE'!K98</f>
        <v>210</v>
      </c>
      <c r="L98" s="16">
        <f>'2º TRIMESTRE'!L98</f>
        <v>1951428.17</v>
      </c>
      <c r="M98" s="44">
        <f>'2º TRIMESTRE'!M98</f>
        <v>44907</v>
      </c>
      <c r="N98" s="15">
        <f>'2º TRIMESTRE'!N98</f>
        <v>0</v>
      </c>
      <c r="O98" s="16">
        <f>'2º TRIMESTRE'!O98</f>
        <v>0</v>
      </c>
      <c r="P98" s="57">
        <f>'2º TRIMESTRE'!P98</f>
        <v>0</v>
      </c>
      <c r="Q98" s="15" t="str">
        <f>'2º TRIMESTRE'!Q98</f>
        <v>4.4.90.39</v>
      </c>
      <c r="R98" s="195">
        <f>'2º TRIMESTRE'!R98+14132.78</f>
        <v>14132.78</v>
      </c>
      <c r="S98" s="195">
        <v>14132.78</v>
      </c>
      <c r="T98" s="195">
        <f>'2º TRIMESTRE'!T98+S98</f>
        <v>14132.78</v>
      </c>
      <c r="U98" s="195">
        <f>'2º TRIMESTRE'!U98+S98</f>
        <v>14132.78</v>
      </c>
      <c r="V98" s="15" t="s">
        <v>31</v>
      </c>
      <c r="W98" s="41"/>
      <c r="X98" s="41"/>
      <c r="Y98" s="41"/>
      <c r="Z98" s="38"/>
    </row>
    <row r="99" spans="1:26" ht="53.25">
      <c r="A99" s="14" t="str">
        <f>'2º TRIMESTRE'!A99</f>
        <v>CONCORRÊNCIA Licitação: 003/2022</v>
      </c>
      <c r="B99" s="14" t="str">
        <f>'2º TRIMESTRE'!B99</f>
        <v>CONTRATAÇÃO DE EMPRESA DE ENGENHARIA, ESPECIALIZADA EM ILUMINAÇÃO PÚBLICA, PARA FORNECIMENTO E INSTAÇÃO DE LUMINARIAS COM TECNOLOGIA LED, COMPATÍVEIS COM SISTEMA DE TELEGESTÃO E REDE ELÉTRICA, PARA ILUMINAÇÃO PÚBLICA DA BR 101, NO TRECHO COMPREENDIDO ENTRE OS KM 69 E KM 78 E OS KM 62 E KM 58</v>
      </c>
      <c r="C99" s="14">
        <f>'2º TRIMESTRE'!C99</f>
        <v>0</v>
      </c>
      <c r="D99" s="14">
        <f>'2º TRIMESTRE'!D99</f>
        <v>0</v>
      </c>
      <c r="E99" s="16">
        <f>'2º TRIMESTRE'!E99</f>
        <v>0</v>
      </c>
      <c r="F99" s="16">
        <f>'2º TRIMESTRE'!F99</f>
        <v>0</v>
      </c>
      <c r="G99" s="14" t="str">
        <f>'2º TRIMESTRE'!G99</f>
        <v>01.346.561/0001-00</v>
      </c>
      <c r="H99" s="14" t="str">
        <f>'2º TRIMESTRE'!H99</f>
        <v>VASCONCELOS E SANTOS LTDA</v>
      </c>
      <c r="I99" s="14" t="str">
        <f>'2º TRIMESTRE'!I99</f>
        <v>6-025/22</v>
      </c>
      <c r="J99" s="44">
        <f>'2º TRIMESTRE'!J99</f>
        <v>44691</v>
      </c>
      <c r="K99" s="15">
        <f>'2º TRIMESTRE'!K99</f>
        <v>395</v>
      </c>
      <c r="L99" s="16">
        <f>'2º TRIMESTRE'!L99</f>
        <v>4795564.07</v>
      </c>
      <c r="M99" s="44">
        <f>'2º TRIMESTRE'!M99</f>
        <v>45086</v>
      </c>
      <c r="N99" s="15">
        <f>'2º TRIMESTRE'!N99</f>
        <v>0</v>
      </c>
      <c r="O99" s="16">
        <f>'2º TRIMESTRE'!O99</f>
        <v>0</v>
      </c>
      <c r="P99" s="57">
        <f>'2º TRIMESTRE'!P99</f>
        <v>0</v>
      </c>
      <c r="Q99" s="15" t="str">
        <f>'2º TRIMESTRE'!Q99</f>
        <v>4.4.90.39</v>
      </c>
      <c r="R99" s="195">
        <f>'2º TRIMESTRE'!R99</f>
        <v>0</v>
      </c>
      <c r="S99" s="195"/>
      <c r="T99" s="195">
        <f>'2º TRIMESTRE'!T99+S99</f>
        <v>0</v>
      </c>
      <c r="U99" s="195">
        <f>'2º TRIMESTRE'!U99+S99</f>
        <v>0</v>
      </c>
      <c r="V99" s="15" t="s">
        <v>31</v>
      </c>
      <c r="W99" s="41"/>
      <c r="X99" s="41"/>
      <c r="Y99" s="41"/>
      <c r="Z99" s="38"/>
    </row>
    <row r="100" spans="1:26" ht="31.5">
      <c r="A100" s="14" t="str">
        <f>'2º TRIMESTRE'!A100</f>
        <v>CONCORRÊNCIA Licitação: 007/2021</v>
      </c>
      <c r="B100" s="14" t="str">
        <f>'2º TRIMESTRE'!B100</f>
        <v>CONTRATAÇÃO DE EMPRESA ESPECIALIZADA EM ENGENHARIA PARA ELABORAÇÃO E READEQUAÇÃO DE PROJETOS EXECUTIVOS DE INFRAESTRUTURADA URBANA, PARA AS VIAS DA CIDADE DO RECIFE</v>
      </c>
      <c r="C100" s="14">
        <f>'2º TRIMESTRE'!C100</f>
        <v>0</v>
      </c>
      <c r="D100" s="14">
        <f>'2º TRIMESTRE'!D100</f>
        <v>0</v>
      </c>
      <c r="E100" s="16">
        <f>'2º TRIMESTRE'!E100</f>
        <v>0</v>
      </c>
      <c r="F100" s="16">
        <f>'2º TRIMESTRE'!F100</f>
        <v>0</v>
      </c>
      <c r="G100" s="14" t="str">
        <f>'2º TRIMESTRE'!G100</f>
        <v>70.073.275/0001-30</v>
      </c>
      <c r="H100" s="14" t="str">
        <f>'2º TRIMESTRE'!H100</f>
        <v>GEOSISTEMAS ENGENHARIA E PLANEJAMENTO LTDA</v>
      </c>
      <c r="I100" s="14" t="str">
        <f>'2º TRIMESTRE'!I100</f>
        <v>6-027/22</v>
      </c>
      <c r="J100" s="44">
        <f>'2º TRIMESTRE'!J100</f>
        <v>44732</v>
      </c>
      <c r="K100" s="15">
        <f>'2º TRIMESTRE'!K100</f>
        <v>210</v>
      </c>
      <c r="L100" s="16">
        <f>'2º TRIMESTRE'!L100</f>
        <v>664493.28</v>
      </c>
      <c r="M100" s="44">
        <f>'2º TRIMESTRE'!M100</f>
        <v>44942</v>
      </c>
      <c r="N100" s="15">
        <f>'2º TRIMESTRE'!N100</f>
        <v>0</v>
      </c>
      <c r="O100" s="16">
        <f>'2º TRIMESTRE'!O100</f>
        <v>0</v>
      </c>
      <c r="P100" s="57">
        <f>'2º TRIMESTRE'!P100</f>
        <v>0</v>
      </c>
      <c r="Q100" s="15" t="str">
        <f>'2º TRIMESTRE'!Q100</f>
        <v>4.4.90.39</v>
      </c>
      <c r="R100" s="195">
        <f>'2º TRIMESTRE'!R100</f>
        <v>0</v>
      </c>
      <c r="S100" s="195"/>
      <c r="T100" s="195">
        <f>'2º TRIMESTRE'!T100+S100</f>
        <v>0</v>
      </c>
      <c r="U100" s="195">
        <f>'2º TRIMESTRE'!U100+S100</f>
        <v>0</v>
      </c>
      <c r="V100" s="15" t="str">
        <f>'2º TRIMESTRE'!V100</f>
        <v>andamento</v>
      </c>
      <c r="W100" s="41"/>
      <c r="X100" s="41"/>
      <c r="Y100" s="41"/>
      <c r="Z100" s="38"/>
    </row>
    <row r="101" spans="1:26" ht="31.5">
      <c r="A101" s="14" t="str">
        <f>'2º TRIMESTRE'!A101</f>
        <v>CONCORRÊNCIA Licitação: 007/2021</v>
      </c>
      <c r="B101" s="14" t="str">
        <f>'2º TRIMESTRE'!B101</f>
        <v>CONTRATAÇÃO DE EMPRESA ESPECIALIZADA EM ENGENHARIA PARA ELABORAÇÃO E READEQUAÇÃO DE PROJETOS EXECUTIVOS DE INFRAESTRUTURADA URBANA, PARA AS VIAS DA CIDADE DO RECIFE</v>
      </c>
      <c r="C101" s="14">
        <f>'2º TRIMESTRE'!C101</f>
        <v>0</v>
      </c>
      <c r="D101" s="14">
        <f>'2º TRIMESTRE'!D101</f>
        <v>0</v>
      </c>
      <c r="E101" s="16">
        <f>'2º TRIMESTRE'!E101</f>
        <v>0</v>
      </c>
      <c r="F101" s="16">
        <f>'2º TRIMESTRE'!F101</f>
        <v>0</v>
      </c>
      <c r="G101" s="14" t="str">
        <f>'2º TRIMESTRE'!G101</f>
        <v>17.883.268/0001-11</v>
      </c>
      <c r="H101" s="14" t="str">
        <f>'2º TRIMESTRE'!H101</f>
        <v>WRC SOLUCOES - PROJETOS, GEODESIA E CONSTRUÇÃO LTDA</v>
      </c>
      <c r="I101" s="14" t="str">
        <f>'2º TRIMESTRE'!I101</f>
        <v>6-028/22</v>
      </c>
      <c r="J101" s="44">
        <f>'2º TRIMESTRE'!J101</f>
        <v>44714</v>
      </c>
      <c r="K101" s="15">
        <f>'2º TRIMESTRE'!K101</f>
        <v>360</v>
      </c>
      <c r="L101" s="16">
        <f>'2º TRIMESTRE'!L101</f>
        <v>1688150.08</v>
      </c>
      <c r="M101" s="44">
        <f>'2º TRIMESTRE'!M101</f>
        <v>45074</v>
      </c>
      <c r="N101" s="15">
        <f>'2º TRIMESTRE'!N101</f>
        <v>0</v>
      </c>
      <c r="O101" s="16">
        <f>'2º TRIMESTRE'!O101</f>
        <v>0</v>
      </c>
      <c r="P101" s="57">
        <f>'2º TRIMESTRE'!P101</f>
        <v>0</v>
      </c>
      <c r="Q101" s="15" t="str">
        <f>'2º TRIMESTRE'!Q101</f>
        <v>4.4.90.39</v>
      </c>
      <c r="R101" s="195">
        <f>'2º TRIMESTRE'!R101</f>
        <v>0</v>
      </c>
      <c r="S101" s="195"/>
      <c r="T101" s="195">
        <f>'2º TRIMESTRE'!T101+S101</f>
        <v>0</v>
      </c>
      <c r="U101" s="195">
        <f>'2º TRIMESTRE'!U101+S101</f>
        <v>0</v>
      </c>
      <c r="V101" s="15" t="str">
        <f>'2º TRIMESTRE'!V101</f>
        <v>andamento</v>
      </c>
      <c r="W101" s="41"/>
      <c r="X101" s="41"/>
      <c r="Y101" s="41"/>
      <c r="Z101" s="38"/>
    </row>
    <row r="102" spans="1:26" ht="31.5">
      <c r="A102" s="14" t="str">
        <f>'2º TRIMESTRE'!A102</f>
        <v>PREGÃO ELETRÔNICO Licitação: 017/2022</v>
      </c>
      <c r="B102" s="14" t="str">
        <f>'2º TRIMESTRE'!B102</f>
        <v>MANUTENÇÃO E /OU INSTALAÇÃO DE EQUIPAMENTOS E BRINQUEDOS EM MADEIRA, INSTALADOS EM PARQUES E PRAÇAS DA CIDADE DO RECIFE</v>
      </c>
      <c r="C102" s="14">
        <f>'2º TRIMESTRE'!C102</f>
        <v>0</v>
      </c>
      <c r="D102" s="14">
        <f>'2º TRIMESTRE'!D102</f>
        <v>0</v>
      </c>
      <c r="E102" s="16">
        <f>'2º TRIMESTRE'!E102</f>
        <v>0</v>
      </c>
      <c r="F102" s="16">
        <f>'2º TRIMESTRE'!F102</f>
        <v>0</v>
      </c>
      <c r="G102" s="14" t="str">
        <f>'2º TRIMESTRE'!G102</f>
        <v>06.157.352/0001-31</v>
      </c>
      <c r="H102" s="14" t="str">
        <f>'2º TRIMESTRE'!H102</f>
        <v>ROBERTO &amp; JAIR COMÉRCIO E SERVIÇOS LTDA-ME</v>
      </c>
      <c r="I102" s="14" t="str">
        <f>'2º TRIMESTRE'!I102</f>
        <v>6-032/22</v>
      </c>
      <c r="J102" s="44">
        <f>'2º TRIMESTRE'!J102</f>
        <v>44718</v>
      </c>
      <c r="K102" s="15">
        <f>'2º TRIMESTRE'!K102</f>
        <v>790</v>
      </c>
      <c r="L102" s="16">
        <f>'2º TRIMESTRE'!L102</f>
        <v>1278000</v>
      </c>
      <c r="M102" s="44">
        <f>'2º TRIMESTRE'!M102</f>
        <v>45508</v>
      </c>
      <c r="N102" s="15">
        <f>'2º TRIMESTRE'!N102</f>
        <v>0</v>
      </c>
      <c r="O102" s="16">
        <f>'2º TRIMESTRE'!O102</f>
        <v>0</v>
      </c>
      <c r="P102" s="57">
        <f>'2º TRIMESTRE'!P102</f>
        <v>0</v>
      </c>
      <c r="Q102" s="15" t="str">
        <f>'2º TRIMESTRE'!Q102</f>
        <v>3.3.90.39</v>
      </c>
      <c r="R102" s="195">
        <f>'2º TRIMESTRE'!R102+229391.58</f>
        <v>229391.58</v>
      </c>
      <c r="S102" s="195">
        <v>229391.58</v>
      </c>
      <c r="T102" s="195">
        <f>'2º TRIMESTRE'!T102+S102</f>
        <v>229391.58</v>
      </c>
      <c r="U102" s="195">
        <f>'2º TRIMESTRE'!U102+S102</f>
        <v>229391.58</v>
      </c>
      <c r="V102" s="15" t="str">
        <f>'2º TRIMESTRE'!V102</f>
        <v>andamento</v>
      </c>
      <c r="W102" s="41"/>
      <c r="X102" s="41"/>
      <c r="Y102" s="41"/>
      <c r="Z102" s="38"/>
    </row>
    <row r="103" spans="1:26" ht="63.75">
      <c r="A103" s="14" t="str">
        <f>'2º TRIMESTRE'!A103</f>
        <v>CONCORRÊNCIA Licitação: 007/2021</v>
      </c>
      <c r="B103" s="14" t="str">
        <f>'2º TRIMESTRE'!B103</f>
        <v>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v>
      </c>
      <c r="C103" s="14">
        <f>'2º TRIMESTRE'!C103</f>
        <v>0</v>
      </c>
      <c r="D103" s="14">
        <f>'2º TRIMESTRE'!D103</f>
        <v>0</v>
      </c>
      <c r="E103" s="16">
        <f>'2º TRIMESTRE'!E103</f>
        <v>0</v>
      </c>
      <c r="F103" s="16">
        <f>'2º TRIMESTRE'!F103</f>
        <v>0</v>
      </c>
      <c r="G103" s="14" t="str">
        <f>'2º TRIMESTRE'!G103</f>
        <v>70.073.275/0001-30</v>
      </c>
      <c r="H103" s="14" t="str">
        <f>'2º TRIMESTRE'!H103</f>
        <v>GEOSISTEMAS ENGENHARIA E PLANEJAMENTO LTDA</v>
      </c>
      <c r="I103" s="14" t="str">
        <f>'2º TRIMESTRE'!I103</f>
        <v>6-033/22</v>
      </c>
      <c r="J103" s="44">
        <f>'2º TRIMESTRE'!J103</f>
        <v>44732</v>
      </c>
      <c r="K103" s="15">
        <f>'2º TRIMESTRE'!K103</f>
        <v>360</v>
      </c>
      <c r="L103" s="16">
        <f>'2º TRIMESTRE'!L103</f>
        <v>1507466.22</v>
      </c>
      <c r="M103" s="44">
        <f>'2º TRIMESTRE'!M103</f>
        <v>45092</v>
      </c>
      <c r="N103" s="15">
        <f>'2º TRIMESTRE'!N103</f>
        <v>0</v>
      </c>
      <c r="O103" s="16">
        <f>'2º TRIMESTRE'!O103</f>
        <v>0</v>
      </c>
      <c r="P103" s="57">
        <f>'2º TRIMESTRE'!P103</f>
        <v>0</v>
      </c>
      <c r="Q103" s="15" t="str">
        <f>'2º TRIMESTRE'!Q103</f>
        <v>4.4.90.39</v>
      </c>
      <c r="R103" s="195">
        <f>'2º TRIMESTRE'!R103</f>
        <v>0</v>
      </c>
      <c r="S103" s="195">
        <f>'2º TRIMESTRE'!S103</f>
        <v>0</v>
      </c>
      <c r="T103" s="195">
        <f>'2º TRIMESTRE'!T103+S103</f>
        <v>0</v>
      </c>
      <c r="U103" s="195">
        <f>'2º TRIMESTRE'!U103+S103</f>
        <v>0</v>
      </c>
      <c r="V103" s="15" t="str">
        <f>'2º TRIMESTRE'!V103</f>
        <v>andamento</v>
      </c>
      <c r="W103" s="41"/>
      <c r="X103" s="41"/>
      <c r="Y103" s="41"/>
      <c r="Z103" s="38"/>
    </row>
    <row r="104" spans="1:26" ht="63.75">
      <c r="A104" s="14" t="str">
        <f>'2º TRIMESTRE'!A104</f>
        <v>CONCORRÊNCIA Licitação: 007/2021</v>
      </c>
      <c r="B104" s="14" t="str">
        <f>'2º TRIMESTRE'!B104</f>
        <v>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v>
      </c>
      <c r="C104" s="14">
        <f>'2º TRIMESTRE'!C104</f>
        <v>0</v>
      </c>
      <c r="D104" s="14">
        <f>'2º TRIMESTRE'!D104</f>
        <v>0</v>
      </c>
      <c r="E104" s="16">
        <f>'2º TRIMESTRE'!E104</f>
        <v>0</v>
      </c>
      <c r="F104" s="16">
        <f>'2º TRIMESTRE'!F104</f>
        <v>0</v>
      </c>
      <c r="G104" s="14" t="str">
        <f>'2º TRIMESTRE'!G104</f>
        <v>70.073.275/0001-30</v>
      </c>
      <c r="H104" s="14" t="str">
        <f>'2º TRIMESTRE'!H104</f>
        <v>GEOSISTEMAS ENGENHARIA E PLANEJAMENTO LTDA</v>
      </c>
      <c r="I104" s="14" t="str">
        <f>'2º TRIMESTRE'!I104</f>
        <v>6-034/22</v>
      </c>
      <c r="J104" s="44">
        <f>'2º TRIMESTRE'!J104</f>
        <v>44732</v>
      </c>
      <c r="K104" s="15">
        <f>'2º TRIMESTRE'!K104</f>
        <v>425</v>
      </c>
      <c r="L104" s="16">
        <f>'2º TRIMESTRE'!L104</f>
        <v>2244006.22</v>
      </c>
      <c r="M104" s="44">
        <f>'2º TRIMESTRE'!M104</f>
        <v>45157</v>
      </c>
      <c r="N104" s="15">
        <f>'2º TRIMESTRE'!N104</f>
        <v>0</v>
      </c>
      <c r="O104" s="16">
        <f>'2º TRIMESTRE'!O104</f>
        <v>0</v>
      </c>
      <c r="P104" s="57">
        <f>'2º TRIMESTRE'!P104</f>
        <v>0</v>
      </c>
      <c r="Q104" s="15" t="str">
        <f>'2º TRIMESTRE'!Q104</f>
        <v>4.4.90.39</v>
      </c>
      <c r="R104" s="195">
        <f>'2º TRIMESTRE'!R104</f>
        <v>0</v>
      </c>
      <c r="S104" s="195">
        <f>'2º TRIMESTRE'!S104</f>
        <v>0</v>
      </c>
      <c r="T104" s="195">
        <f>'2º TRIMESTRE'!T104+S104</f>
        <v>0</v>
      </c>
      <c r="U104" s="195">
        <f>'2º TRIMESTRE'!U104+S104</f>
        <v>0</v>
      </c>
      <c r="V104" s="15" t="str">
        <f>'2º TRIMESTRE'!V104</f>
        <v>andamento</v>
      </c>
      <c r="W104" s="41"/>
      <c r="X104" s="41"/>
      <c r="Y104" s="41"/>
      <c r="Z104" s="38"/>
    </row>
    <row r="105" spans="1:26" ht="31.5">
      <c r="A105" s="14" t="str">
        <f>'2º TRIMESTRE'!A105</f>
        <v>CONCORRÊNCIA Licitação: 001/2022</v>
      </c>
      <c r="B105" s="14" t="str">
        <f>'2º TRIMESTRE'!B105</f>
        <v>SERVIÇO DE MANUTENÇÃO PREVENTIVA DO SISTEMA MACRODRENAGEM EM TODAS AS RPAS DA CIDADE DO RECIFE, LOTE I - RPA 01 E RPA 06</v>
      </c>
      <c r="C105" s="14">
        <f>'2º TRIMESTRE'!C105</f>
        <v>0</v>
      </c>
      <c r="D105" s="14">
        <f>'2º TRIMESTRE'!D105</f>
        <v>0</v>
      </c>
      <c r="E105" s="16">
        <f>'2º TRIMESTRE'!E105</f>
        <v>0</v>
      </c>
      <c r="F105" s="16">
        <f>'2º TRIMESTRE'!F105</f>
        <v>0</v>
      </c>
      <c r="G105" s="14" t="str">
        <f>'2º TRIMESTRE'!G105</f>
        <v>01.514.128/0001-36</v>
      </c>
      <c r="H105" s="14" t="str">
        <f>'2º TRIMESTRE'!H105</f>
        <v>SCAVE SERVICOS DE ENGENHARIA E LOCACAO LTDA</v>
      </c>
      <c r="I105" s="14" t="str">
        <f>'2º TRIMESTRE'!I105</f>
        <v>6-036/22</v>
      </c>
      <c r="J105" s="44">
        <f>'2º TRIMESTRE'!J105</f>
        <v>44719</v>
      </c>
      <c r="K105" s="15">
        <f>'2º TRIMESTRE'!K105</f>
        <v>1155</v>
      </c>
      <c r="L105" s="16">
        <f>'2º TRIMESTRE'!L105</f>
        <v>7836613.59</v>
      </c>
      <c r="M105" s="44">
        <f>'2º TRIMESTRE'!M105</f>
        <v>45874</v>
      </c>
      <c r="N105" s="15">
        <f>'2º TRIMESTRE'!N105</f>
        <v>0</v>
      </c>
      <c r="O105" s="16">
        <f>'2º TRIMESTRE'!O105</f>
        <v>0</v>
      </c>
      <c r="P105" s="57">
        <f>'2º TRIMESTRE'!P105</f>
        <v>0</v>
      </c>
      <c r="Q105" s="15" t="str">
        <f>'2º TRIMESTRE'!Q105</f>
        <v>3.3.90.39</v>
      </c>
      <c r="R105" s="195">
        <f>'2º TRIMESTRE'!R105+1260161.68</f>
        <v>1260161.68</v>
      </c>
      <c r="S105" s="195">
        <v>668933.55</v>
      </c>
      <c r="T105" s="195">
        <f>'2º TRIMESTRE'!T105+S105</f>
        <v>668933.55</v>
      </c>
      <c r="U105" s="195">
        <f>'2º TRIMESTRE'!U105+S105</f>
        <v>668933.55</v>
      </c>
      <c r="V105" s="15" t="str">
        <f>'2º TRIMESTRE'!V105</f>
        <v>andamento</v>
      </c>
      <c r="W105" s="41"/>
      <c r="X105" s="41"/>
      <c r="Y105" s="41"/>
      <c r="Z105" s="38"/>
    </row>
    <row r="106" spans="1:26" ht="31.5">
      <c r="A106" s="14" t="str">
        <f>'2º TRIMESTRE'!A106</f>
        <v>CONCORRÊNCIA Licitação: 001/2022</v>
      </c>
      <c r="B106" s="14" t="str">
        <f>'2º TRIMESTRE'!B106</f>
        <v>SERVIÇO DE MANUTENÇÃO PREVENTIVA DO SISTEMA MACRODRENAGEM EM TODAS AS RPAS DA CIDADE DO RECIFE, LOTE II - RPA 02 E RPA 03</v>
      </c>
      <c r="C106" s="14">
        <f>'2º TRIMESTRE'!C106</f>
        <v>0</v>
      </c>
      <c r="D106" s="14">
        <f>'2º TRIMESTRE'!D106</f>
        <v>0</v>
      </c>
      <c r="E106" s="16">
        <f>'2º TRIMESTRE'!E106</f>
        <v>0</v>
      </c>
      <c r="F106" s="16">
        <f>'2º TRIMESTRE'!F106</f>
        <v>0</v>
      </c>
      <c r="G106" s="14" t="str">
        <f>'2º TRIMESTRE'!G106</f>
        <v>01.514.128/0001-36</v>
      </c>
      <c r="H106" s="14" t="str">
        <f>'2º TRIMESTRE'!H106</f>
        <v>SCAVE SERVICOS DE ENGENHARIA E LOCACAO LTDA</v>
      </c>
      <c r="I106" s="14" t="str">
        <f>'2º TRIMESTRE'!I106</f>
        <v>6-037/22</v>
      </c>
      <c r="J106" s="44">
        <f>'2º TRIMESTRE'!J106</f>
        <v>44719</v>
      </c>
      <c r="K106" s="15">
        <f>'2º TRIMESTRE'!K106</f>
        <v>1155</v>
      </c>
      <c r="L106" s="16">
        <f>'2º TRIMESTRE'!L106</f>
        <v>8921904</v>
      </c>
      <c r="M106" s="44">
        <f>'2º TRIMESTRE'!M106</f>
        <v>45874</v>
      </c>
      <c r="N106" s="15">
        <f>'2º TRIMESTRE'!N106</f>
        <v>0</v>
      </c>
      <c r="O106" s="16">
        <f>'2º TRIMESTRE'!O106</f>
        <v>0</v>
      </c>
      <c r="P106" s="57">
        <f>'2º TRIMESTRE'!P106</f>
        <v>0</v>
      </c>
      <c r="Q106" s="15" t="str">
        <f>'2º TRIMESTRE'!Q106</f>
        <v>3.3.90.39</v>
      </c>
      <c r="R106" s="195">
        <f>'2º TRIMESTRE'!R106+1494013.13</f>
        <v>1494013.13</v>
      </c>
      <c r="S106" s="195">
        <v>795400.27</v>
      </c>
      <c r="T106" s="195">
        <f>'2º TRIMESTRE'!T106+S106</f>
        <v>795400.27</v>
      </c>
      <c r="U106" s="195">
        <f>'2º TRIMESTRE'!U106+S106</f>
        <v>795400.27</v>
      </c>
      <c r="V106" s="15" t="str">
        <f>'2º TRIMESTRE'!V106</f>
        <v>andamento</v>
      </c>
      <c r="W106" s="41"/>
      <c r="X106" s="41"/>
      <c r="Y106" s="41"/>
      <c r="Z106" s="38"/>
    </row>
    <row r="107" spans="1:26" ht="21">
      <c r="A107" s="14" t="str">
        <f>'2º TRIMESTRE'!A107</f>
        <v>CONCORRÊNCIA Licitação: 001/2022</v>
      </c>
      <c r="B107" s="14" t="str">
        <f>'2º TRIMESTRE'!B107</f>
        <v>SERVIÇO DE MANUTENÇÃO PREVENTIVA DO SISTEMA MACRODRENAGEM EM TODAS AS RPAS DA CIDADE DO RECIFE. LOTE III - RPA 04 E RPA 05</v>
      </c>
      <c r="C107" s="14">
        <f>'2º TRIMESTRE'!C107</f>
        <v>0</v>
      </c>
      <c r="D107" s="14">
        <f>'2º TRIMESTRE'!D107</f>
        <v>0</v>
      </c>
      <c r="E107" s="16">
        <f>'2º TRIMESTRE'!E107</f>
        <v>0</v>
      </c>
      <c r="F107" s="16">
        <f>'2º TRIMESTRE'!F107</f>
        <v>0</v>
      </c>
      <c r="G107" s="14" t="str">
        <f>'2º TRIMESTRE'!G107</f>
        <v>03.951.168/0001-70</v>
      </c>
      <c r="H107" s="14" t="str">
        <f>'2º TRIMESTRE'!H107</f>
        <v>CONSTRUTORA NOVO MUNDO EIRELI</v>
      </c>
      <c r="I107" s="14" t="str">
        <f>'2º TRIMESTRE'!I107</f>
        <v>6-038/22</v>
      </c>
      <c r="J107" s="44">
        <f>'2º TRIMESTRE'!J107</f>
        <v>44719</v>
      </c>
      <c r="K107" s="15">
        <f>'2º TRIMESTRE'!K107</f>
        <v>1155</v>
      </c>
      <c r="L107" s="16">
        <f>'2º TRIMESTRE'!L107</f>
        <v>11636266.13</v>
      </c>
      <c r="M107" s="44">
        <f>'2º TRIMESTRE'!M107</f>
        <v>45874</v>
      </c>
      <c r="N107" s="15">
        <f>'2º TRIMESTRE'!N107</f>
        <v>0</v>
      </c>
      <c r="O107" s="16">
        <f>'2º TRIMESTRE'!O107</f>
        <v>0</v>
      </c>
      <c r="P107" s="57">
        <f>'2º TRIMESTRE'!P107</f>
        <v>0</v>
      </c>
      <c r="Q107" s="15" t="str">
        <f>'2º TRIMESTRE'!Q107</f>
        <v>3.3.90.39</v>
      </c>
      <c r="R107" s="195">
        <f>'2º TRIMESTRE'!R107+1543129</f>
        <v>1543129</v>
      </c>
      <c r="S107" s="195">
        <v>581664.84</v>
      </c>
      <c r="T107" s="195">
        <f>'2º TRIMESTRE'!T107+S107</f>
        <v>581664.84</v>
      </c>
      <c r="U107" s="195">
        <f>'2º TRIMESTRE'!U107+S107</f>
        <v>581664.84</v>
      </c>
      <c r="V107" s="15" t="str">
        <f>'2º TRIMESTRE'!V107</f>
        <v>andamento</v>
      </c>
      <c r="W107" s="41"/>
      <c r="X107" s="41"/>
      <c r="Y107" s="41"/>
      <c r="Z107" s="38"/>
    </row>
    <row r="108" spans="1:26" ht="42.75">
      <c r="A108" s="14" t="str">
        <f>'2º TRIMESTRE'!A108</f>
        <v>  CONCORRÊNCIA Licitação: 004/2022</v>
      </c>
      <c r="B108" s="14" t="str">
        <f>'2º TRIMESTRE'!B108</f>
        <v>IMPLANTAÇÃO DE CICLOVIA NA AV. AGAMENON MAGALHÃES NO TRECHO COMPREENDIDO ENTRE A RUA DR. LEOPOLDO LINS, NO BAIRRO DA BOA VISTA ATÉ A AVENIDA SATURTINO DE BRITO, NO BAIRRO DO CABANGA, RECIFE PE</v>
      </c>
      <c r="C108" s="14">
        <f>'2º TRIMESTRE'!C108</f>
        <v>0</v>
      </c>
      <c r="D108" s="14">
        <f>'2º TRIMESTRE'!D108</f>
        <v>0</v>
      </c>
      <c r="E108" s="16">
        <f>'2º TRIMESTRE'!E108</f>
        <v>0</v>
      </c>
      <c r="F108" s="16">
        <f>'2º TRIMESTRE'!F108</f>
        <v>0</v>
      </c>
      <c r="G108" s="14" t="str">
        <f>'2º TRIMESTRE'!G108</f>
        <v>11.864.311/0001-15</v>
      </c>
      <c r="H108" s="14" t="str">
        <f>'2º TRIMESTRE'!H108</f>
        <v>SBC SOCIEDADE BRASILEIRA DE CONSTRUCOES LTDA</v>
      </c>
      <c r="I108" s="14" t="str">
        <f>'2º TRIMESTRE'!I108</f>
        <v>6-039/22</v>
      </c>
      <c r="J108" s="44">
        <f>'2º TRIMESTRE'!J108</f>
        <v>44726</v>
      </c>
      <c r="K108" s="15">
        <f>'2º TRIMESTRE'!K108</f>
        <v>210</v>
      </c>
      <c r="L108" s="16">
        <f>'2º TRIMESTRE'!L108</f>
        <v>5966954.55</v>
      </c>
      <c r="M108" s="44">
        <f>'2º TRIMESTRE'!M108</f>
        <v>44936</v>
      </c>
      <c r="N108" s="15">
        <f>'2º TRIMESTRE'!N108</f>
        <v>0</v>
      </c>
      <c r="O108" s="16">
        <f>'2º TRIMESTRE'!O108</f>
        <v>0</v>
      </c>
      <c r="P108" s="57">
        <f>'2º TRIMESTRE'!P108</f>
        <v>0</v>
      </c>
      <c r="Q108" s="15" t="str">
        <f>'2º TRIMESTRE'!Q108</f>
        <v>4.4.90.39</v>
      </c>
      <c r="R108" s="195">
        <f>'2º TRIMESTRE'!R108</f>
        <v>0</v>
      </c>
      <c r="S108" s="195">
        <f>'2º TRIMESTRE'!S108</f>
        <v>0</v>
      </c>
      <c r="T108" s="195">
        <f>'2º TRIMESTRE'!T108+S108</f>
        <v>0</v>
      </c>
      <c r="U108" s="195">
        <f>'2º TRIMESTRE'!U108+S108</f>
        <v>0</v>
      </c>
      <c r="V108" s="15" t="str">
        <f>'2º TRIMESTRE'!V108</f>
        <v>Cadastrado</v>
      </c>
      <c r="W108" s="41"/>
      <c r="X108" s="41"/>
      <c r="Y108" s="41"/>
      <c r="Z108" s="38"/>
    </row>
    <row r="109" spans="1:26" ht="31.5">
      <c r="A109" s="14" t="s">
        <v>440</v>
      </c>
      <c r="B109" s="14" t="s">
        <v>441</v>
      </c>
      <c r="C109" s="14">
        <f>'2º TRIMESTRE'!C109</f>
        <v>0</v>
      </c>
      <c r="D109" s="14">
        <f>'2º TRIMESTRE'!D109</f>
        <v>0</v>
      </c>
      <c r="E109" s="16">
        <f>'2º TRIMESTRE'!E109</f>
        <v>0</v>
      </c>
      <c r="F109" s="16">
        <f>'2º TRIMESTRE'!F109</f>
        <v>0</v>
      </c>
      <c r="G109" s="135" t="s">
        <v>303</v>
      </c>
      <c r="H109" s="14" t="s">
        <v>304</v>
      </c>
      <c r="I109" s="135" t="s">
        <v>439</v>
      </c>
      <c r="J109" s="44">
        <v>44763</v>
      </c>
      <c r="K109" s="15">
        <v>90</v>
      </c>
      <c r="L109" s="132">
        <v>350959.89</v>
      </c>
      <c r="M109" s="44">
        <f>J109+K109+N109</f>
        <v>44913</v>
      </c>
      <c r="N109" s="15">
        <f>'2º TRIMESTRE'!N109+60</f>
        <v>60</v>
      </c>
      <c r="O109" s="16">
        <f>'2º TRIMESTRE'!O109</f>
        <v>0</v>
      </c>
      <c r="P109" s="57">
        <f>'2º TRIMESTRE'!P109</f>
        <v>0</v>
      </c>
      <c r="Q109" s="15" t="s">
        <v>49</v>
      </c>
      <c r="R109" s="197">
        <v>34636.16</v>
      </c>
      <c r="S109" s="195">
        <f>'2º TRIMESTRE'!S109</f>
        <v>0</v>
      </c>
      <c r="T109" s="195">
        <f>'2º TRIMESTRE'!T109+S109</f>
        <v>0</v>
      </c>
      <c r="U109" s="195">
        <f>'2º TRIMESTRE'!U109+S109</f>
        <v>0</v>
      </c>
      <c r="V109" s="15" t="s">
        <v>31</v>
      </c>
      <c r="W109" s="41"/>
      <c r="X109" s="41"/>
      <c r="Y109" s="41"/>
      <c r="Z109" s="38"/>
    </row>
    <row r="110" spans="1:26" ht="21">
      <c r="A110" s="9" t="s">
        <v>443</v>
      </c>
      <c r="B110" s="192" t="s">
        <v>444</v>
      </c>
      <c r="C110" s="14">
        <f>'2º TRIMESTRE'!C110</f>
        <v>0</v>
      </c>
      <c r="D110" s="14">
        <f>'2º TRIMESTRE'!D110</f>
        <v>0</v>
      </c>
      <c r="E110" s="16">
        <f>'2º TRIMESTRE'!E110</f>
        <v>0</v>
      </c>
      <c r="F110" s="16">
        <f>'2º TRIMESTRE'!F110</f>
        <v>0</v>
      </c>
      <c r="G110" s="14" t="s">
        <v>33</v>
      </c>
      <c r="H110" s="14" t="s">
        <v>91</v>
      </c>
      <c r="I110" s="14" t="s">
        <v>442</v>
      </c>
      <c r="J110" s="44">
        <v>44776</v>
      </c>
      <c r="K110" s="15">
        <v>600</v>
      </c>
      <c r="L110" s="129">
        <v>6573647.89</v>
      </c>
      <c r="M110" s="44">
        <f aca="true" t="shared" si="0" ref="M110:M121">J110+K110+N110</f>
        <v>45376</v>
      </c>
      <c r="N110" s="15">
        <f>'2º TRIMESTRE'!N110</f>
        <v>0</v>
      </c>
      <c r="O110" s="16">
        <f>'2º TRIMESTRE'!O110</f>
        <v>0</v>
      </c>
      <c r="P110" s="57">
        <f>'2º TRIMESTRE'!P110</f>
        <v>0</v>
      </c>
      <c r="Q110" s="15" t="s">
        <v>49</v>
      </c>
      <c r="R110" s="198">
        <v>613379.11</v>
      </c>
      <c r="S110" s="195">
        <v>613379.11</v>
      </c>
      <c r="T110" s="195">
        <f>'2º TRIMESTRE'!T110+S110</f>
        <v>613379.11</v>
      </c>
      <c r="U110" s="195">
        <f>'2º TRIMESTRE'!U110+S110</f>
        <v>613379.11</v>
      </c>
      <c r="V110" s="15" t="s">
        <v>31</v>
      </c>
      <c r="W110" s="41"/>
      <c r="X110" s="41"/>
      <c r="Y110" s="41"/>
      <c r="Z110" s="38"/>
    </row>
    <row r="111" spans="1:26" ht="42.75">
      <c r="A111" s="14" t="s">
        <v>446</v>
      </c>
      <c r="B111" s="14" t="s">
        <v>447</v>
      </c>
      <c r="C111" s="14">
        <f>'2º TRIMESTRE'!C111</f>
        <v>0</v>
      </c>
      <c r="D111" s="14">
        <f>'2º TRIMESTRE'!D111</f>
        <v>0</v>
      </c>
      <c r="E111" s="16">
        <f>'2º TRIMESTRE'!E111</f>
        <v>0</v>
      </c>
      <c r="F111" s="16">
        <f>'2º TRIMESTRE'!F111</f>
        <v>0</v>
      </c>
      <c r="G111" s="14" t="s">
        <v>36</v>
      </c>
      <c r="H111" s="14" t="s">
        <v>114</v>
      </c>
      <c r="I111" s="14" t="s">
        <v>445</v>
      </c>
      <c r="J111" s="44">
        <v>44774</v>
      </c>
      <c r="K111" s="15">
        <f>'2º TRIMESTRE'!K111+760</f>
        <v>760</v>
      </c>
      <c r="L111" s="129">
        <v>3890767.22</v>
      </c>
      <c r="M111" s="44">
        <f t="shared" si="0"/>
        <v>45534</v>
      </c>
      <c r="N111" s="15">
        <f>'2º TRIMESTRE'!N111</f>
        <v>0</v>
      </c>
      <c r="O111" s="16">
        <f>'2º TRIMESTRE'!O111</f>
        <v>0</v>
      </c>
      <c r="P111" s="57">
        <f>'2º TRIMESTRE'!P111</f>
        <v>0</v>
      </c>
      <c r="Q111" s="15" t="s">
        <v>30</v>
      </c>
      <c r="R111" s="195">
        <f>'2º TRIMESTRE'!R111</f>
        <v>0</v>
      </c>
      <c r="S111" s="195">
        <f>'2º TRIMESTRE'!S111</f>
        <v>0</v>
      </c>
      <c r="T111" s="195">
        <f>'2º TRIMESTRE'!T111+S111</f>
        <v>0</v>
      </c>
      <c r="U111" s="195">
        <f>'2º TRIMESTRE'!U111+S111</f>
        <v>0</v>
      </c>
      <c r="V111" s="15" t="s">
        <v>31</v>
      </c>
      <c r="W111" s="41"/>
      <c r="X111" s="41"/>
      <c r="Y111" s="41"/>
      <c r="Z111" s="38"/>
    </row>
    <row r="112" spans="1:26" ht="53.25">
      <c r="A112" s="14" t="s">
        <v>449</v>
      </c>
      <c r="B112" s="14" t="s">
        <v>159</v>
      </c>
      <c r="C112" s="14">
        <f>'2º TRIMESTRE'!C112</f>
        <v>0</v>
      </c>
      <c r="D112" s="14">
        <f>'2º TRIMESTRE'!D112</f>
        <v>0</v>
      </c>
      <c r="E112" s="16">
        <f>'2º TRIMESTRE'!E112</f>
        <v>0</v>
      </c>
      <c r="F112" s="16">
        <f>'2º TRIMESTRE'!F112</f>
        <v>0</v>
      </c>
      <c r="G112" s="14" t="s">
        <v>350</v>
      </c>
      <c r="H112" s="14" t="s">
        <v>351</v>
      </c>
      <c r="I112" s="14" t="s">
        <v>448</v>
      </c>
      <c r="J112" s="44">
        <v>44776</v>
      </c>
      <c r="K112" s="15">
        <f>'2º TRIMESTRE'!K112+790</f>
        <v>790</v>
      </c>
      <c r="L112" s="132">
        <v>2538999.92</v>
      </c>
      <c r="M112" s="44">
        <f t="shared" si="0"/>
        <v>45566</v>
      </c>
      <c r="N112" s="15">
        <f>'2º TRIMESTRE'!N112</f>
        <v>0</v>
      </c>
      <c r="O112" s="16">
        <f>'2º TRIMESTRE'!O112</f>
        <v>0</v>
      </c>
      <c r="P112" s="57">
        <f>'2º TRIMESTRE'!P112</f>
        <v>0</v>
      </c>
      <c r="Q112" s="15" t="s">
        <v>30</v>
      </c>
      <c r="R112" s="195">
        <f>'2º TRIMESTRE'!R112</f>
        <v>0</v>
      </c>
      <c r="S112" s="195">
        <f>'2º TRIMESTRE'!S112</f>
        <v>0</v>
      </c>
      <c r="T112" s="195">
        <f>'2º TRIMESTRE'!T112+S112</f>
        <v>0</v>
      </c>
      <c r="U112" s="195">
        <f>'2º TRIMESTRE'!U112+S112</f>
        <v>0</v>
      </c>
      <c r="V112" s="15" t="s">
        <v>394</v>
      </c>
      <c r="W112" s="41"/>
      <c r="X112" s="41"/>
      <c r="Y112" s="41"/>
      <c r="Z112" s="38"/>
    </row>
    <row r="113" spans="1:26" ht="53.25">
      <c r="A113" s="14" t="s">
        <v>451</v>
      </c>
      <c r="B113" s="166" t="s">
        <v>452</v>
      </c>
      <c r="C113" s="14">
        <f>'2º TRIMESTRE'!C113</f>
        <v>0</v>
      </c>
      <c r="D113" s="14">
        <f>'2º TRIMESTRE'!D113</f>
        <v>0</v>
      </c>
      <c r="E113" s="16">
        <f>'2º TRIMESTRE'!E113</f>
        <v>0</v>
      </c>
      <c r="F113" s="16">
        <f>'2º TRIMESTRE'!F113</f>
        <v>0</v>
      </c>
      <c r="G113" s="14" t="s">
        <v>453</v>
      </c>
      <c r="H113" s="9" t="s">
        <v>454</v>
      </c>
      <c r="I113" s="14" t="s">
        <v>450</v>
      </c>
      <c r="J113" s="44">
        <v>44775</v>
      </c>
      <c r="K113" s="15">
        <f>'2º TRIMESTRE'!K113+425</f>
        <v>425</v>
      </c>
      <c r="L113" s="129">
        <v>50446292</v>
      </c>
      <c r="M113" s="44">
        <f t="shared" si="0"/>
        <v>45200</v>
      </c>
      <c r="N113" s="15">
        <f>'2º TRIMESTRE'!N113</f>
        <v>0</v>
      </c>
      <c r="O113" s="16">
        <f>'2º TRIMESTRE'!O113</f>
        <v>0</v>
      </c>
      <c r="P113" s="57">
        <f>'2º TRIMESTRE'!P113</f>
        <v>0</v>
      </c>
      <c r="Q113" s="15" t="s">
        <v>30</v>
      </c>
      <c r="R113" s="195">
        <f>'2º TRIMESTRE'!R113+3903440.46</f>
        <v>3903440.46</v>
      </c>
      <c r="S113" s="195">
        <v>3903440.46</v>
      </c>
      <c r="T113" s="195">
        <f>'2º TRIMESTRE'!T113+S113</f>
        <v>3903440.46</v>
      </c>
      <c r="U113" s="195">
        <f>'2º TRIMESTRE'!U113+S113</f>
        <v>3903440.46</v>
      </c>
      <c r="V113" s="15" t="s">
        <v>31</v>
      </c>
      <c r="W113" s="41"/>
      <c r="X113" s="41"/>
      <c r="Y113" s="41"/>
      <c r="Z113" s="38"/>
    </row>
    <row r="114" spans="1:26" ht="53.25">
      <c r="A114" s="9" t="s">
        <v>451</v>
      </c>
      <c r="B114" s="166" t="s">
        <v>456</v>
      </c>
      <c r="C114" s="14">
        <f>'2º TRIMESTRE'!C114</f>
        <v>0</v>
      </c>
      <c r="D114" s="14">
        <f>'2º TRIMESTRE'!D114</f>
        <v>0</v>
      </c>
      <c r="E114" s="16">
        <f>'2º TRIMESTRE'!E114</f>
        <v>0</v>
      </c>
      <c r="F114" s="16">
        <f>'2º TRIMESTRE'!F114</f>
        <v>0</v>
      </c>
      <c r="G114" s="9" t="s">
        <v>453</v>
      </c>
      <c r="H114" s="14" t="s">
        <v>454</v>
      </c>
      <c r="I114" s="14" t="s">
        <v>455</v>
      </c>
      <c r="J114" s="44">
        <v>44775</v>
      </c>
      <c r="K114" s="15">
        <f>'2º TRIMESTRE'!K114+425</f>
        <v>425</v>
      </c>
      <c r="L114" s="132">
        <v>12552600</v>
      </c>
      <c r="M114" s="44">
        <f t="shared" si="0"/>
        <v>45200</v>
      </c>
      <c r="N114" s="15">
        <f>'2º TRIMESTRE'!N114</f>
        <v>0</v>
      </c>
      <c r="O114" s="16">
        <f>'2º TRIMESTRE'!O114</f>
        <v>0</v>
      </c>
      <c r="P114" s="57">
        <f>'2º TRIMESTRE'!P114</f>
        <v>0</v>
      </c>
      <c r="Q114" s="15" t="s">
        <v>30</v>
      </c>
      <c r="R114" s="199">
        <v>992235.45</v>
      </c>
      <c r="S114" s="195">
        <v>992235.45</v>
      </c>
      <c r="T114" s="195">
        <f>'2º TRIMESTRE'!T114+S114</f>
        <v>992235.45</v>
      </c>
      <c r="U114" s="195">
        <f>'2º TRIMESTRE'!U114+S114</f>
        <v>992235.45</v>
      </c>
      <c r="V114" s="15" t="s">
        <v>31</v>
      </c>
      <c r="W114" s="41"/>
      <c r="X114" s="41"/>
      <c r="Y114" s="41"/>
      <c r="Z114" s="38"/>
    </row>
    <row r="115" spans="1:26" ht="53.25">
      <c r="A115" s="14" t="s">
        <v>458</v>
      </c>
      <c r="B115" s="193" t="s">
        <v>459</v>
      </c>
      <c r="C115" s="14">
        <f>'2º TRIMESTRE'!C115</f>
        <v>0</v>
      </c>
      <c r="D115" s="14">
        <f>'2º TRIMESTRE'!D115</f>
        <v>0</v>
      </c>
      <c r="E115" s="16">
        <f>'2º TRIMESTRE'!E115</f>
        <v>0</v>
      </c>
      <c r="F115" s="16">
        <f>'2º TRIMESTRE'!F115</f>
        <v>0</v>
      </c>
      <c r="G115" s="14" t="s">
        <v>331</v>
      </c>
      <c r="H115" s="9" t="s">
        <v>332</v>
      </c>
      <c r="I115" s="14" t="s">
        <v>457</v>
      </c>
      <c r="J115" s="44">
        <v>44777</v>
      </c>
      <c r="K115" s="15">
        <f>'2º TRIMESTRE'!K115+90</f>
        <v>90</v>
      </c>
      <c r="L115" s="129">
        <v>3553996.19</v>
      </c>
      <c r="M115" s="44">
        <f t="shared" si="0"/>
        <v>44867</v>
      </c>
      <c r="N115" s="15">
        <f>'2º TRIMESTRE'!N115</f>
        <v>0</v>
      </c>
      <c r="O115" s="16">
        <f>'2º TRIMESTRE'!O115</f>
        <v>0</v>
      </c>
      <c r="P115" s="57">
        <f>'2º TRIMESTRE'!P115</f>
        <v>0</v>
      </c>
      <c r="Q115" s="15" t="s">
        <v>49</v>
      </c>
      <c r="R115" s="195">
        <f>'2º TRIMESTRE'!R115</f>
        <v>0</v>
      </c>
      <c r="S115" s="195">
        <f>'2º TRIMESTRE'!S115</f>
        <v>0</v>
      </c>
      <c r="T115" s="195">
        <f>'2º TRIMESTRE'!T115+S115</f>
        <v>0</v>
      </c>
      <c r="U115" s="195">
        <f>'2º TRIMESTRE'!U115+S115</f>
        <v>0</v>
      </c>
      <c r="V115" s="15" t="s">
        <v>31</v>
      </c>
      <c r="W115" s="41"/>
      <c r="X115" s="41"/>
      <c r="Y115" s="41"/>
      <c r="Z115" s="38"/>
    </row>
    <row r="116" spans="1:26" ht="53.25">
      <c r="A116" s="9" t="s">
        <v>461</v>
      </c>
      <c r="B116" s="166" t="s">
        <v>462</v>
      </c>
      <c r="C116" s="14">
        <f>'2º TRIMESTRE'!C116</f>
        <v>0</v>
      </c>
      <c r="D116" s="14">
        <f>'2º TRIMESTRE'!D116</f>
        <v>0</v>
      </c>
      <c r="E116" s="16">
        <f>'2º TRIMESTRE'!E116</f>
        <v>0</v>
      </c>
      <c r="F116" s="16">
        <f>'2º TRIMESTRE'!F116</f>
        <v>0</v>
      </c>
      <c r="G116" s="9" t="s">
        <v>463</v>
      </c>
      <c r="H116" s="14" t="s">
        <v>464</v>
      </c>
      <c r="I116" s="14" t="s">
        <v>460</v>
      </c>
      <c r="J116" s="44">
        <v>44782</v>
      </c>
      <c r="K116" s="15">
        <f>'2º TRIMESTRE'!K116+150</f>
        <v>150</v>
      </c>
      <c r="L116" s="132">
        <v>274949.26</v>
      </c>
      <c r="M116" s="44">
        <f t="shared" si="0"/>
        <v>44932</v>
      </c>
      <c r="N116" s="15">
        <f>'2º TRIMESTRE'!N116</f>
        <v>0</v>
      </c>
      <c r="O116" s="16">
        <f>'2º TRIMESTRE'!O116</f>
        <v>0</v>
      </c>
      <c r="P116" s="57">
        <f>'2º TRIMESTRE'!P116</f>
        <v>0</v>
      </c>
      <c r="Q116" s="15" t="s">
        <v>49</v>
      </c>
      <c r="R116" s="195">
        <f>'2º TRIMESTRE'!R116</f>
        <v>0</v>
      </c>
      <c r="S116" s="195">
        <f>'2º TRIMESTRE'!S116</f>
        <v>0</v>
      </c>
      <c r="T116" s="195">
        <f>'2º TRIMESTRE'!T116+S116</f>
        <v>0</v>
      </c>
      <c r="U116" s="195">
        <f>'2º TRIMESTRE'!U116+S116</f>
        <v>0</v>
      </c>
      <c r="V116" s="15" t="s">
        <v>31</v>
      </c>
      <c r="W116" s="41"/>
      <c r="X116" s="41"/>
      <c r="Y116" s="41"/>
      <c r="Z116" s="38"/>
    </row>
    <row r="117" spans="1:26" ht="42.75">
      <c r="A117" s="14" t="s">
        <v>466</v>
      </c>
      <c r="B117" s="193" t="s">
        <v>467</v>
      </c>
      <c r="C117" s="14">
        <f>'2º TRIMESTRE'!C117</f>
        <v>0</v>
      </c>
      <c r="D117" s="14">
        <f>'2º TRIMESTRE'!D117</f>
        <v>0</v>
      </c>
      <c r="E117" s="16">
        <f>'2º TRIMESTRE'!E117</f>
        <v>0</v>
      </c>
      <c r="F117" s="16">
        <f>'2º TRIMESTRE'!F117</f>
        <v>0</v>
      </c>
      <c r="G117" s="14" t="s">
        <v>92</v>
      </c>
      <c r="H117" s="14" t="s">
        <v>93</v>
      </c>
      <c r="I117" s="14" t="s">
        <v>465</v>
      </c>
      <c r="J117" s="44">
        <v>44785</v>
      </c>
      <c r="K117" s="15">
        <f>'2º TRIMESTRE'!K117+240</f>
        <v>240</v>
      </c>
      <c r="L117" s="129">
        <v>661511.15</v>
      </c>
      <c r="M117" s="44">
        <f t="shared" si="0"/>
        <v>45025</v>
      </c>
      <c r="N117" s="15">
        <f>'2º TRIMESTRE'!N117</f>
        <v>0</v>
      </c>
      <c r="O117" s="16">
        <f>'2º TRIMESTRE'!O117</f>
        <v>0</v>
      </c>
      <c r="P117" s="57">
        <f>'2º TRIMESTRE'!P117</f>
        <v>0</v>
      </c>
      <c r="Q117" s="15" t="s">
        <v>49</v>
      </c>
      <c r="R117" s="195">
        <f>'2º TRIMESTRE'!R117</f>
        <v>0</v>
      </c>
      <c r="S117" s="195">
        <f>'2º TRIMESTRE'!S117</f>
        <v>0</v>
      </c>
      <c r="T117" s="195">
        <f>'2º TRIMESTRE'!T117+S117</f>
        <v>0</v>
      </c>
      <c r="U117" s="195">
        <f>'2º TRIMESTRE'!U117+S117</f>
        <v>0</v>
      </c>
      <c r="V117" s="15" t="s">
        <v>31</v>
      </c>
      <c r="W117" s="41"/>
      <c r="X117" s="41"/>
      <c r="Y117" s="41"/>
      <c r="Z117" s="38"/>
    </row>
    <row r="118" spans="1:26" ht="42.75">
      <c r="A118" s="9" t="s">
        <v>469</v>
      </c>
      <c r="B118" s="14" t="s">
        <v>470</v>
      </c>
      <c r="C118" s="14">
        <f>'2º TRIMESTRE'!C118</f>
        <v>0</v>
      </c>
      <c r="D118" s="14">
        <f>'2º TRIMESTRE'!D118</f>
        <v>0</v>
      </c>
      <c r="E118" s="16">
        <f>'2º TRIMESTRE'!E118</f>
        <v>0</v>
      </c>
      <c r="F118" s="16">
        <f>'2º TRIMESTRE'!F118</f>
        <v>0</v>
      </c>
      <c r="G118" s="9" t="s">
        <v>36</v>
      </c>
      <c r="H118" s="14" t="s">
        <v>114</v>
      </c>
      <c r="I118" s="14" t="s">
        <v>468</v>
      </c>
      <c r="J118" s="44">
        <v>44799</v>
      </c>
      <c r="K118" s="15">
        <f>'2º TRIMESTRE'!K118+390</f>
        <v>390</v>
      </c>
      <c r="L118" s="132">
        <v>1839293.99</v>
      </c>
      <c r="M118" s="44">
        <f t="shared" si="0"/>
        <v>45189</v>
      </c>
      <c r="N118" s="15">
        <f>'2º TRIMESTRE'!N118</f>
        <v>0</v>
      </c>
      <c r="O118" s="16">
        <f>'2º TRIMESTRE'!O118</f>
        <v>0</v>
      </c>
      <c r="P118" s="57">
        <f>'2º TRIMESTRE'!P118</f>
        <v>0</v>
      </c>
      <c r="Q118" s="15" t="s">
        <v>49</v>
      </c>
      <c r="R118" s="195">
        <f>'2º TRIMESTRE'!R118</f>
        <v>0</v>
      </c>
      <c r="S118" s="195">
        <f>'2º TRIMESTRE'!S118</f>
        <v>0</v>
      </c>
      <c r="T118" s="195">
        <f>'2º TRIMESTRE'!T118+S118</f>
        <v>0</v>
      </c>
      <c r="U118" s="195">
        <f>'2º TRIMESTRE'!U118+S118</f>
        <v>0</v>
      </c>
      <c r="V118" s="15" t="s">
        <v>31</v>
      </c>
      <c r="W118" s="41"/>
      <c r="X118" s="41"/>
      <c r="Y118" s="41"/>
      <c r="Z118" s="38"/>
    </row>
    <row r="119" spans="1:26" ht="21">
      <c r="A119" s="14" t="s">
        <v>472</v>
      </c>
      <c r="B119" s="14" t="s">
        <v>473</v>
      </c>
      <c r="C119" s="14">
        <f>'2º TRIMESTRE'!C119</f>
        <v>0</v>
      </c>
      <c r="D119" s="14">
        <f>'2º TRIMESTRE'!D119</f>
        <v>0</v>
      </c>
      <c r="E119" s="16">
        <f>'2º TRIMESTRE'!E119</f>
        <v>0</v>
      </c>
      <c r="F119" s="16">
        <f>'2º TRIMESTRE'!F119</f>
        <v>0</v>
      </c>
      <c r="G119" s="14" t="s">
        <v>303</v>
      </c>
      <c r="H119" s="14" t="s">
        <v>304</v>
      </c>
      <c r="I119" s="14" t="s">
        <v>471</v>
      </c>
      <c r="J119" s="44">
        <v>44799</v>
      </c>
      <c r="K119" s="15">
        <f>'2º TRIMESTRE'!K119+240</f>
        <v>240</v>
      </c>
      <c r="L119" s="129">
        <v>2137870.29</v>
      </c>
      <c r="M119" s="44">
        <f t="shared" si="0"/>
        <v>45039</v>
      </c>
      <c r="N119" s="15">
        <f>'2º TRIMESTRE'!N119</f>
        <v>0</v>
      </c>
      <c r="O119" s="16">
        <f>'2º TRIMESTRE'!O119</f>
        <v>0</v>
      </c>
      <c r="P119" s="57">
        <f>'2º TRIMESTRE'!P119</f>
        <v>0</v>
      </c>
      <c r="Q119" s="15" t="s">
        <v>49</v>
      </c>
      <c r="R119" s="195">
        <f>'2º TRIMESTRE'!R119+272958.15</f>
        <v>272958.15</v>
      </c>
      <c r="S119" s="195">
        <v>0</v>
      </c>
      <c r="T119" s="195">
        <f>'2º TRIMESTRE'!T119+S119</f>
        <v>0</v>
      </c>
      <c r="U119" s="195">
        <f>'2º TRIMESTRE'!U119+S119</f>
        <v>0</v>
      </c>
      <c r="V119" s="15" t="s">
        <v>31</v>
      </c>
      <c r="W119" s="41"/>
      <c r="X119" s="41"/>
      <c r="Y119" s="41"/>
      <c r="Z119" s="38"/>
    </row>
    <row r="120" spans="1:26" ht="31.5">
      <c r="A120" s="9" t="s">
        <v>475</v>
      </c>
      <c r="B120" s="14" t="s">
        <v>476</v>
      </c>
      <c r="C120" s="14">
        <f>'2º TRIMESTRE'!C120</f>
        <v>0</v>
      </c>
      <c r="D120" s="14">
        <f>'2º TRIMESTRE'!D120</f>
        <v>0</v>
      </c>
      <c r="E120" s="16">
        <f>'2º TRIMESTRE'!E120</f>
        <v>0</v>
      </c>
      <c r="F120" s="16">
        <f>'2º TRIMESTRE'!F120</f>
        <v>0</v>
      </c>
      <c r="G120" s="9" t="s">
        <v>35</v>
      </c>
      <c r="H120" s="14" t="s">
        <v>66</v>
      </c>
      <c r="I120" s="14" t="s">
        <v>474</v>
      </c>
      <c r="J120" s="44">
        <v>44802</v>
      </c>
      <c r="K120" s="15">
        <f>'2º TRIMESTRE'!K120+1155</f>
        <v>1155</v>
      </c>
      <c r="L120" s="132">
        <v>34378587.23</v>
      </c>
      <c r="M120" s="44">
        <f t="shared" si="0"/>
        <v>45957</v>
      </c>
      <c r="N120" s="15">
        <f>'2º TRIMESTRE'!N120</f>
        <v>0</v>
      </c>
      <c r="O120" s="16">
        <f>'2º TRIMESTRE'!O120</f>
        <v>0</v>
      </c>
      <c r="P120" s="57">
        <f>'2º TRIMESTRE'!P120</f>
        <v>0</v>
      </c>
      <c r="Q120" s="15" t="s">
        <v>30</v>
      </c>
      <c r="R120" s="195">
        <f>'2º TRIMESTRE'!R120+135299.34</f>
        <v>135299.34</v>
      </c>
      <c r="S120" s="195">
        <v>135299.34</v>
      </c>
      <c r="T120" s="195">
        <f>'2º TRIMESTRE'!T120+S120</f>
        <v>135299.34</v>
      </c>
      <c r="U120" s="195">
        <f>'2º TRIMESTRE'!U120+S120</f>
        <v>135299.34</v>
      </c>
      <c r="V120" s="15" t="s">
        <v>31</v>
      </c>
      <c r="W120" s="41"/>
      <c r="X120" s="41"/>
      <c r="Y120" s="41"/>
      <c r="Z120" s="38"/>
    </row>
    <row r="121" spans="1:26" ht="21">
      <c r="A121" s="14" t="s">
        <v>475</v>
      </c>
      <c r="B121" s="9" t="s">
        <v>478</v>
      </c>
      <c r="C121" s="14">
        <f>'2º TRIMESTRE'!C121</f>
        <v>0</v>
      </c>
      <c r="D121" s="14">
        <f>'2º TRIMESTRE'!D121</f>
        <v>0</v>
      </c>
      <c r="E121" s="16">
        <f>'2º TRIMESTRE'!E121</f>
        <v>0</v>
      </c>
      <c r="F121" s="16">
        <f>'2º TRIMESTRE'!F121</f>
        <v>0</v>
      </c>
      <c r="G121" s="14" t="s">
        <v>33</v>
      </c>
      <c r="H121" s="9" t="s">
        <v>91</v>
      </c>
      <c r="I121" s="14" t="s">
        <v>477</v>
      </c>
      <c r="J121" s="44">
        <v>44802</v>
      </c>
      <c r="K121" s="15">
        <f>'2º TRIMESTRE'!K121+1155</f>
        <v>1155</v>
      </c>
      <c r="L121" s="16">
        <f>'2º TRIMESTRE'!L121+35796096.35</f>
        <v>35796096.35</v>
      </c>
      <c r="M121" s="44">
        <f t="shared" si="0"/>
        <v>45957</v>
      </c>
      <c r="N121" s="15">
        <f>'2º TRIMESTRE'!N121</f>
        <v>0</v>
      </c>
      <c r="O121" s="16">
        <f>'2º TRIMESTRE'!O121</f>
        <v>0</v>
      </c>
      <c r="P121" s="57">
        <f>'2º TRIMESTRE'!P121</f>
        <v>0</v>
      </c>
      <c r="Q121" s="15" t="s">
        <v>30</v>
      </c>
      <c r="R121" s="195">
        <f>'2º TRIMESTRE'!R121+103166.01</f>
        <v>103166.01</v>
      </c>
      <c r="S121" s="195">
        <v>16066.08</v>
      </c>
      <c r="T121" s="195">
        <f>'2º TRIMESTRE'!T121+S121</f>
        <v>16066.08</v>
      </c>
      <c r="U121" s="195">
        <f>'2º TRIMESTRE'!U121+S121</f>
        <v>16066.08</v>
      </c>
      <c r="V121" s="15" t="s">
        <v>31</v>
      </c>
      <c r="W121" s="41"/>
      <c r="X121" s="41"/>
      <c r="Y121" s="41"/>
      <c r="Z121" s="38"/>
    </row>
    <row r="122" spans="1:26" ht="42.75">
      <c r="A122" s="9" t="s">
        <v>480</v>
      </c>
      <c r="B122" s="14" t="s">
        <v>481</v>
      </c>
      <c r="C122" s="14">
        <f>'2º TRIMESTRE'!C122</f>
        <v>0</v>
      </c>
      <c r="D122" s="14">
        <f>'2º TRIMESTRE'!D122</f>
        <v>0</v>
      </c>
      <c r="E122" s="16">
        <f>'2º TRIMESTRE'!E122</f>
        <v>0</v>
      </c>
      <c r="F122" s="16">
        <f>'2º TRIMESTRE'!F122</f>
        <v>0</v>
      </c>
      <c r="G122" s="9" t="s">
        <v>382</v>
      </c>
      <c r="H122" s="14" t="s">
        <v>383</v>
      </c>
      <c r="I122" s="14" t="s">
        <v>479</v>
      </c>
      <c r="J122" s="44">
        <v>44812</v>
      </c>
      <c r="K122" s="15">
        <f>'2º TRIMESTRE'!K122+270</f>
        <v>270</v>
      </c>
      <c r="L122" s="16">
        <f>'2º TRIMESTRE'!L122+3825898.74</f>
        <v>3825898.74</v>
      </c>
      <c r="M122" s="44">
        <f aca="true" t="shared" si="1" ref="M122:M129">J122+K122+N122</f>
        <v>45082</v>
      </c>
      <c r="N122" s="15">
        <f>'2º TRIMESTRE'!N122</f>
        <v>0</v>
      </c>
      <c r="O122" s="16">
        <f>'2º TRIMESTRE'!O122</f>
        <v>0</v>
      </c>
      <c r="P122" s="57">
        <f>'2º TRIMESTRE'!P122</f>
        <v>0</v>
      </c>
      <c r="Q122" s="15" t="s">
        <v>49</v>
      </c>
      <c r="R122" s="195">
        <f>'2º TRIMESTRE'!R122</f>
        <v>0</v>
      </c>
      <c r="S122" s="195">
        <f>'2º TRIMESTRE'!S122</f>
        <v>0</v>
      </c>
      <c r="T122" s="195">
        <f>'2º TRIMESTRE'!T122+S122</f>
        <v>0</v>
      </c>
      <c r="U122" s="195">
        <f>'2º TRIMESTRE'!U122+S122</f>
        <v>0</v>
      </c>
      <c r="V122" s="15" t="s">
        <v>394</v>
      </c>
      <c r="W122" s="41"/>
      <c r="X122" s="41"/>
      <c r="Y122" s="41"/>
      <c r="Z122" s="38"/>
    </row>
    <row r="123" spans="1:26" ht="31.5">
      <c r="A123" s="14" t="s">
        <v>483</v>
      </c>
      <c r="B123" s="193" t="s">
        <v>484</v>
      </c>
      <c r="C123" s="14">
        <f>'2º TRIMESTRE'!C123</f>
        <v>0</v>
      </c>
      <c r="D123" s="14">
        <f>'2º TRIMESTRE'!D123</f>
        <v>0</v>
      </c>
      <c r="E123" s="16">
        <f>'2º TRIMESTRE'!E123</f>
        <v>0</v>
      </c>
      <c r="F123" s="16">
        <f>'2º TRIMESTRE'!F123</f>
        <v>0</v>
      </c>
      <c r="G123" s="14" t="s">
        <v>382</v>
      </c>
      <c r="H123" s="9" t="s">
        <v>383</v>
      </c>
      <c r="I123" s="14" t="s">
        <v>482</v>
      </c>
      <c r="J123" s="44">
        <v>44803</v>
      </c>
      <c r="K123" s="15">
        <f>'2º TRIMESTRE'!K123+270</f>
        <v>270</v>
      </c>
      <c r="L123" s="16">
        <f>'2º TRIMESTRE'!L123+8106707.08</f>
        <v>8106707.08</v>
      </c>
      <c r="M123" s="44">
        <f t="shared" si="1"/>
        <v>45073</v>
      </c>
      <c r="N123" s="15">
        <f>'2º TRIMESTRE'!N123</f>
        <v>0</v>
      </c>
      <c r="O123" s="16">
        <f>'2º TRIMESTRE'!O123</f>
        <v>0</v>
      </c>
      <c r="P123" s="57">
        <f>'2º TRIMESTRE'!P123</f>
        <v>0</v>
      </c>
      <c r="Q123" s="15" t="s">
        <v>49</v>
      </c>
      <c r="R123" s="195">
        <f>'2º TRIMESTRE'!R123</f>
        <v>0</v>
      </c>
      <c r="S123" s="195">
        <f>'2º TRIMESTRE'!S123</f>
        <v>0</v>
      </c>
      <c r="T123" s="195">
        <f>'2º TRIMESTRE'!T123+S123</f>
        <v>0</v>
      </c>
      <c r="U123" s="195">
        <f>'2º TRIMESTRE'!U123+S123</f>
        <v>0</v>
      </c>
      <c r="V123" s="15" t="s">
        <v>394</v>
      </c>
      <c r="W123" s="41"/>
      <c r="X123" s="41"/>
      <c r="Y123" s="41"/>
      <c r="Z123" s="38"/>
    </row>
    <row r="124" spans="1:26" ht="31.5">
      <c r="A124" s="9" t="s">
        <v>486</v>
      </c>
      <c r="B124" s="14" t="s">
        <v>487</v>
      </c>
      <c r="C124" s="14">
        <f>'2º TRIMESTRE'!C124</f>
        <v>0</v>
      </c>
      <c r="D124" s="14">
        <f>'2º TRIMESTRE'!D124</f>
        <v>0</v>
      </c>
      <c r="E124" s="16">
        <f>'2º TRIMESTRE'!E124</f>
        <v>0</v>
      </c>
      <c r="F124" s="16">
        <f>'2º TRIMESTRE'!F124</f>
        <v>0</v>
      </c>
      <c r="G124" s="9" t="s">
        <v>33</v>
      </c>
      <c r="H124" s="14" t="s">
        <v>91</v>
      </c>
      <c r="I124" s="14" t="s">
        <v>485</v>
      </c>
      <c r="J124" s="44">
        <v>44817</v>
      </c>
      <c r="K124" s="15">
        <f>'2º TRIMESTRE'!K124+240</f>
        <v>240</v>
      </c>
      <c r="L124" s="16">
        <f>'2º TRIMESTRE'!L124</f>
        <v>0</v>
      </c>
      <c r="M124" s="44">
        <f t="shared" si="1"/>
        <v>45057</v>
      </c>
      <c r="N124" s="15">
        <f>'2º TRIMESTRE'!N124</f>
        <v>0</v>
      </c>
      <c r="O124" s="16">
        <f>'2º TRIMESTRE'!O124</f>
        <v>0</v>
      </c>
      <c r="P124" s="57">
        <f>'2º TRIMESTRE'!P124</f>
        <v>0</v>
      </c>
      <c r="Q124" s="15" t="s">
        <v>49</v>
      </c>
      <c r="R124" s="195">
        <f>'2º TRIMESTRE'!R124</f>
        <v>0</v>
      </c>
      <c r="S124" s="195">
        <f>'2º TRIMESTRE'!S124</f>
        <v>0</v>
      </c>
      <c r="T124" s="195">
        <f>'2º TRIMESTRE'!T124+S124</f>
        <v>0</v>
      </c>
      <c r="U124" s="195">
        <f>'2º TRIMESTRE'!U124+S124</f>
        <v>0</v>
      </c>
      <c r="V124" s="15" t="s">
        <v>394</v>
      </c>
      <c r="W124" s="41"/>
      <c r="X124" s="41"/>
      <c r="Y124" s="41"/>
      <c r="Z124" s="38"/>
    </row>
    <row r="125" spans="1:26" ht="53.25">
      <c r="A125" s="14" t="s">
        <v>489</v>
      </c>
      <c r="B125" s="9" t="s">
        <v>490</v>
      </c>
      <c r="C125" s="14">
        <f>'2º TRIMESTRE'!C125</f>
        <v>0</v>
      </c>
      <c r="D125" s="14">
        <f>'2º TRIMESTRE'!D125</f>
        <v>0</v>
      </c>
      <c r="E125" s="16">
        <f>'2º TRIMESTRE'!E125</f>
        <v>0</v>
      </c>
      <c r="F125" s="16">
        <f>'2º TRIMESTRE'!F125</f>
        <v>0</v>
      </c>
      <c r="G125" s="14" t="s">
        <v>453</v>
      </c>
      <c r="H125" s="9" t="s">
        <v>454</v>
      </c>
      <c r="I125" s="14" t="s">
        <v>488</v>
      </c>
      <c r="J125" s="44">
        <f>'2º TRIMESTRE'!J125</f>
        <v>0</v>
      </c>
      <c r="K125" s="15">
        <f>'2º TRIMESTRE'!K125+365</f>
        <v>365</v>
      </c>
      <c r="L125" s="16">
        <f>'2º TRIMESTRE'!L125+2031400</f>
        <v>2031400</v>
      </c>
      <c r="M125" s="44">
        <f t="shared" si="1"/>
        <v>365</v>
      </c>
      <c r="N125" s="15">
        <f>'2º TRIMESTRE'!N125</f>
        <v>0</v>
      </c>
      <c r="O125" s="16">
        <f>'2º TRIMESTRE'!O125</f>
        <v>0</v>
      </c>
      <c r="P125" s="57">
        <f>'2º TRIMESTRE'!P125</f>
        <v>0</v>
      </c>
      <c r="Q125" s="15" t="s">
        <v>30</v>
      </c>
      <c r="R125" s="195">
        <f>'2º TRIMESTRE'!R125</f>
        <v>0</v>
      </c>
      <c r="S125" s="195">
        <f>'2º TRIMESTRE'!S125</f>
        <v>0</v>
      </c>
      <c r="T125" s="195">
        <f>'2º TRIMESTRE'!T125+S125</f>
        <v>0</v>
      </c>
      <c r="U125" s="195">
        <f>'2º TRIMESTRE'!U125+S125</f>
        <v>0</v>
      </c>
      <c r="V125" s="15" t="s">
        <v>491</v>
      </c>
      <c r="W125" s="41"/>
      <c r="X125" s="41"/>
      <c r="Y125" s="41"/>
      <c r="Z125" s="38"/>
    </row>
    <row r="126" spans="1:26" ht="31.5">
      <c r="A126" s="9" t="s">
        <v>493</v>
      </c>
      <c r="B126" s="14" t="s">
        <v>494</v>
      </c>
      <c r="C126" s="14">
        <f>'2º TRIMESTRE'!C126</f>
        <v>0</v>
      </c>
      <c r="D126" s="14">
        <f>'2º TRIMESTRE'!D126</f>
        <v>0</v>
      </c>
      <c r="E126" s="16">
        <f>'2º TRIMESTRE'!E126</f>
        <v>0</v>
      </c>
      <c r="F126" s="16">
        <f>'2º TRIMESTRE'!F126</f>
        <v>0</v>
      </c>
      <c r="G126" s="9" t="s">
        <v>495</v>
      </c>
      <c r="H126" s="14" t="s">
        <v>496</v>
      </c>
      <c r="I126" s="14" t="s">
        <v>492</v>
      </c>
      <c r="J126" s="44">
        <f>'2º TRIMESTRE'!J126</f>
        <v>0</v>
      </c>
      <c r="K126" s="15">
        <f>'2º TRIMESTRE'!K126+150</f>
        <v>150</v>
      </c>
      <c r="L126" s="16">
        <f>'2º TRIMESTRE'!L126+1597706.7</f>
        <v>1597706.7</v>
      </c>
      <c r="M126" s="44">
        <f t="shared" si="1"/>
        <v>150</v>
      </c>
      <c r="N126" s="15">
        <f>'2º TRIMESTRE'!N126</f>
        <v>0</v>
      </c>
      <c r="O126" s="16">
        <f>'2º TRIMESTRE'!O126</f>
        <v>0</v>
      </c>
      <c r="P126" s="57">
        <f>'2º TRIMESTRE'!P126</f>
        <v>0</v>
      </c>
      <c r="Q126" s="15" t="s">
        <v>49</v>
      </c>
      <c r="R126" s="195">
        <f>'2º TRIMESTRE'!R126</f>
        <v>0</v>
      </c>
      <c r="S126" s="195">
        <f>'2º TRIMESTRE'!S126</f>
        <v>0</v>
      </c>
      <c r="T126" s="195">
        <f>'2º TRIMESTRE'!T126+S126</f>
        <v>0</v>
      </c>
      <c r="U126" s="195">
        <f>'2º TRIMESTRE'!U126+S126</f>
        <v>0</v>
      </c>
      <c r="V126" s="15" t="s">
        <v>491</v>
      </c>
      <c r="W126" s="41"/>
      <c r="X126" s="41"/>
      <c r="Y126" s="41"/>
      <c r="Z126" s="38"/>
    </row>
    <row r="127" spans="1:26" ht="10.5">
      <c r="A127" s="14">
        <f>'2º TRIMESTRE'!A128</f>
        <v>0</v>
      </c>
      <c r="B127" s="14">
        <f>'2º TRIMESTRE'!B128</f>
        <v>0</v>
      </c>
      <c r="C127" s="14">
        <f>'2º TRIMESTRE'!C128</f>
        <v>0</v>
      </c>
      <c r="D127" s="14">
        <f>'2º TRIMESTRE'!D128</f>
        <v>0</v>
      </c>
      <c r="E127" s="16">
        <f>'2º TRIMESTRE'!E128</f>
        <v>0</v>
      </c>
      <c r="F127" s="16">
        <f>'2º TRIMESTRE'!F128</f>
        <v>0</v>
      </c>
      <c r="G127" s="14">
        <f>'2º TRIMESTRE'!G128</f>
        <v>0</v>
      </c>
      <c r="H127" s="14">
        <f>'2º TRIMESTRE'!H128</f>
        <v>0</v>
      </c>
      <c r="I127" s="14">
        <f>'2º TRIMESTRE'!I128</f>
        <v>0</v>
      </c>
      <c r="J127" s="44">
        <f>'2º TRIMESTRE'!J128</f>
        <v>0</v>
      </c>
      <c r="K127" s="15">
        <f>'2º TRIMESTRE'!K128</f>
        <v>0</v>
      </c>
      <c r="L127" s="16">
        <f>'2º TRIMESTRE'!L128</f>
        <v>0</v>
      </c>
      <c r="M127" s="44">
        <f t="shared" si="1"/>
        <v>0</v>
      </c>
      <c r="N127" s="15">
        <f>'2º TRIMESTRE'!N128</f>
        <v>0</v>
      </c>
      <c r="O127" s="16">
        <f>'2º TRIMESTRE'!O128</f>
        <v>0</v>
      </c>
      <c r="P127" s="57">
        <f>'2º TRIMESTRE'!P128</f>
        <v>0</v>
      </c>
      <c r="Q127" s="15">
        <f>'2º TRIMESTRE'!Q128</f>
        <v>0</v>
      </c>
      <c r="R127" s="195">
        <f>'2º TRIMESTRE'!R128</f>
        <v>0</v>
      </c>
      <c r="S127" s="195">
        <f>'2º TRIMESTRE'!S128</f>
        <v>0</v>
      </c>
      <c r="T127" s="195">
        <f>'2º TRIMESTRE'!T127+S127</f>
        <v>0</v>
      </c>
      <c r="U127" s="195">
        <f>'2º TRIMESTRE'!U127+S127</f>
        <v>0</v>
      </c>
      <c r="V127" s="163">
        <f>'2º TRIMESTRE'!V128</f>
        <v>0</v>
      </c>
      <c r="W127" s="41"/>
      <c r="X127" s="41"/>
      <c r="Y127" s="41"/>
      <c r="Z127" s="38"/>
    </row>
    <row r="128" spans="1:26" ht="10.5">
      <c r="A128" s="14">
        <f>'2º TRIMESTRE'!A129</f>
        <v>0</v>
      </c>
      <c r="B128" s="14">
        <f>'2º TRIMESTRE'!B129</f>
        <v>0</v>
      </c>
      <c r="C128" s="14">
        <f>'2º TRIMESTRE'!C129</f>
        <v>0</v>
      </c>
      <c r="D128" s="14">
        <f>'2º TRIMESTRE'!D129</f>
        <v>0</v>
      </c>
      <c r="E128" s="16">
        <f>'2º TRIMESTRE'!E129</f>
        <v>0</v>
      </c>
      <c r="F128" s="16">
        <f>'2º TRIMESTRE'!F129</f>
        <v>0</v>
      </c>
      <c r="G128" s="14">
        <f>'2º TRIMESTRE'!G129</f>
        <v>0</v>
      </c>
      <c r="H128" s="14">
        <f>'2º TRIMESTRE'!H129</f>
        <v>0</v>
      </c>
      <c r="I128" s="14">
        <f>'2º TRIMESTRE'!I129</f>
        <v>0</v>
      </c>
      <c r="J128" s="44">
        <f>'2º TRIMESTRE'!J129</f>
        <v>0</v>
      </c>
      <c r="K128" s="15">
        <f>'2º TRIMESTRE'!K129</f>
        <v>0</v>
      </c>
      <c r="L128" s="16">
        <f>'2º TRIMESTRE'!L129</f>
        <v>0</v>
      </c>
      <c r="M128" s="44">
        <f t="shared" si="1"/>
        <v>0</v>
      </c>
      <c r="N128" s="15">
        <f>'2º TRIMESTRE'!N129</f>
        <v>0</v>
      </c>
      <c r="O128" s="16">
        <f>'2º TRIMESTRE'!O129</f>
        <v>0</v>
      </c>
      <c r="P128" s="57">
        <f>'2º TRIMESTRE'!P129</f>
        <v>0</v>
      </c>
      <c r="Q128" s="15">
        <f>'2º TRIMESTRE'!Q129</f>
        <v>0</v>
      </c>
      <c r="R128" s="195">
        <f>'2º TRIMESTRE'!R129</f>
        <v>0</v>
      </c>
      <c r="S128" s="195">
        <f>'2º TRIMESTRE'!S129</f>
        <v>0</v>
      </c>
      <c r="T128" s="195">
        <f>'2º TRIMESTRE'!T128+S128</f>
        <v>0</v>
      </c>
      <c r="U128" s="195">
        <f>'2º TRIMESTRE'!U128+S128</f>
        <v>0</v>
      </c>
      <c r="V128" s="163">
        <f>'2º TRIMESTRE'!V129</f>
        <v>0</v>
      </c>
      <c r="W128" s="41"/>
      <c r="X128" s="41"/>
      <c r="Y128" s="41"/>
      <c r="Z128" s="38"/>
    </row>
    <row r="129" spans="1:26" ht="10.5">
      <c r="A129" s="14">
        <f>'2º TRIMESTRE'!A130</f>
        <v>0</v>
      </c>
      <c r="B129" s="14">
        <f>'2º TRIMESTRE'!B130</f>
        <v>0</v>
      </c>
      <c r="C129" s="14">
        <f>'2º TRIMESTRE'!C130</f>
        <v>0</v>
      </c>
      <c r="D129" s="14">
        <f>'2º TRIMESTRE'!D130</f>
        <v>0</v>
      </c>
      <c r="E129" s="16">
        <f>'2º TRIMESTRE'!E130</f>
        <v>0</v>
      </c>
      <c r="F129" s="16">
        <f>'2º TRIMESTRE'!F130</f>
        <v>0</v>
      </c>
      <c r="G129" s="14">
        <f>'2º TRIMESTRE'!G130</f>
        <v>0</v>
      </c>
      <c r="H129" s="14">
        <f>'2º TRIMESTRE'!H130</f>
        <v>0</v>
      </c>
      <c r="I129" s="14">
        <f>'2º TRIMESTRE'!I130</f>
        <v>0</v>
      </c>
      <c r="J129" s="44">
        <f>'2º TRIMESTRE'!J130</f>
        <v>0</v>
      </c>
      <c r="K129" s="15">
        <f>'2º TRIMESTRE'!K130</f>
        <v>0</v>
      </c>
      <c r="L129" s="16">
        <f>'2º TRIMESTRE'!L130</f>
        <v>0</v>
      </c>
      <c r="M129" s="44">
        <f t="shared" si="1"/>
        <v>0</v>
      </c>
      <c r="N129" s="15">
        <f>'2º TRIMESTRE'!N130</f>
        <v>0</v>
      </c>
      <c r="O129" s="16">
        <f>'2º TRIMESTRE'!O130</f>
        <v>0</v>
      </c>
      <c r="P129" s="57">
        <f>'2º TRIMESTRE'!P130</f>
        <v>0</v>
      </c>
      <c r="Q129" s="15">
        <f>'2º TRIMESTRE'!Q130</f>
        <v>0</v>
      </c>
      <c r="R129" s="195">
        <f>'2º TRIMESTRE'!R130</f>
        <v>0</v>
      </c>
      <c r="S129" s="195">
        <f>'2º TRIMESTRE'!S130</f>
        <v>0</v>
      </c>
      <c r="T129" s="195">
        <f>'2º TRIMESTRE'!T129+S129</f>
        <v>0</v>
      </c>
      <c r="U129" s="195">
        <f>'2º TRIMESTRE'!U129+S129</f>
        <v>0</v>
      </c>
      <c r="V129" s="163">
        <f>'2º TRIMESTRE'!V130</f>
        <v>0</v>
      </c>
      <c r="W129" s="41"/>
      <c r="X129" s="41"/>
      <c r="Y129" s="41"/>
      <c r="Z129" s="38"/>
    </row>
    <row r="130" ht="10.5">
      <c r="Y130" s="41"/>
    </row>
  </sheetData>
  <sheetProtection selectLockedCells="1" selectUnlockedCells="1"/>
  <mergeCells count="18">
    <mergeCell ref="F5:H5"/>
    <mergeCell ref="J5:O5"/>
    <mergeCell ref="G6:M6"/>
    <mergeCell ref="A6:A7"/>
    <mergeCell ref="C6:F6"/>
    <mergeCell ref="B6:B7"/>
    <mergeCell ref="N6:O6"/>
    <mergeCell ref="A5:C5"/>
    <mergeCell ref="Q5:V5"/>
    <mergeCell ref="Q6:U6"/>
    <mergeCell ref="F4:H4"/>
    <mergeCell ref="J4:O4"/>
    <mergeCell ref="A1:V1"/>
    <mergeCell ref="A2:F2"/>
    <mergeCell ref="G2:V2"/>
    <mergeCell ref="Q4:V4"/>
    <mergeCell ref="A3:F3"/>
    <mergeCell ref="G3:V3"/>
  </mergeCells>
  <printOptions horizontalCentered="1"/>
  <pageMargins left="0.1968503937007874" right="0.1968503937007874" top="0.4330708661417323" bottom="0.4330708661417323" header="0.1968503937007874" footer="0.1968503937007874"/>
  <pageSetup fitToHeight="100" fitToWidth="2" horizontalDpi="600" verticalDpi="600" orientation="landscape" paperSize="9" scale="75" r:id="rId1"/>
  <headerFooter alignWithMargins="0">
    <oddFooter>&amp;C&amp;"Arial,Normal"&amp;10Página &amp;P</oddFooter>
  </headerFooter>
</worksheet>
</file>

<file path=xl/worksheets/sheet4.xml><?xml version="1.0" encoding="utf-8"?>
<worksheet xmlns="http://schemas.openxmlformats.org/spreadsheetml/2006/main" xmlns:r="http://schemas.openxmlformats.org/officeDocument/2006/relationships">
  <dimension ref="A1:AC131"/>
  <sheetViews>
    <sheetView tabSelected="1" zoomScalePageLayoutView="0" workbookViewId="0" topLeftCell="A120">
      <selection activeCell="T127" sqref="T127"/>
    </sheetView>
  </sheetViews>
  <sheetFormatPr defaultColWidth="9.140625" defaultRowHeight="15"/>
  <cols>
    <col min="1" max="1" width="19.8515625" style="20" bestFit="1" customWidth="1"/>
    <col min="2" max="2" width="41.00390625" style="20" customWidth="1"/>
    <col min="3" max="3" width="10.00390625" style="24" bestFit="1" customWidth="1"/>
    <col min="4" max="4" width="22.140625" style="25" bestFit="1" customWidth="1"/>
    <col min="5" max="5" width="11.57421875" style="63" customWidth="1"/>
    <col min="6" max="6" width="10.421875" style="63" customWidth="1"/>
    <col min="7" max="7" width="13.28125" style="11" hidden="1" customWidth="1"/>
    <col min="8" max="8" width="25.7109375" style="39" hidden="1" customWidth="1"/>
    <col min="9" max="9" width="7.7109375" style="11" customWidth="1"/>
    <col min="10" max="10" width="10.28125" style="31" customWidth="1"/>
    <col min="11" max="11" width="5.00390625" style="11" customWidth="1"/>
    <col min="12" max="12" width="10.421875" style="65" customWidth="1"/>
    <col min="13" max="13" width="9.421875" style="31" customWidth="1"/>
    <col min="14" max="14" width="8.140625" style="11" customWidth="1"/>
    <col min="15" max="15" width="11.28125" style="63" customWidth="1"/>
    <col min="16" max="16" width="11.140625" style="63" bestFit="1" customWidth="1"/>
    <col min="17" max="17" width="9.140625" style="24" customWidth="1"/>
    <col min="18" max="18" width="12.00390625" style="65" customWidth="1"/>
    <col min="19" max="19" width="11.8515625" style="65" customWidth="1"/>
    <col min="20" max="21" width="11.57421875" style="65" customWidth="1"/>
    <col min="22" max="22" width="7.421875" style="20" bestFit="1" customWidth="1"/>
    <col min="23" max="23" width="9.57421875" style="10" bestFit="1" customWidth="1"/>
    <col min="24" max="24" width="15.00390625" style="77" bestFit="1" customWidth="1"/>
    <col min="25" max="25" width="9.8515625" style="9" bestFit="1" customWidth="1"/>
    <col min="26" max="26" width="6.57421875" style="9" customWidth="1"/>
    <col min="27" max="27" width="9.7109375" style="20" bestFit="1" customWidth="1"/>
    <col min="28" max="28" width="7.57421875" style="20" bestFit="1" customWidth="1"/>
    <col min="29" max="16384" width="9.140625" style="20" customWidth="1"/>
  </cols>
  <sheetData>
    <row r="1" spans="1:26" s="27" customFormat="1" ht="10.5">
      <c r="A1" s="210" t="s">
        <v>0</v>
      </c>
      <c r="B1" s="210"/>
      <c r="C1" s="210"/>
      <c r="D1" s="210"/>
      <c r="E1" s="210"/>
      <c r="F1" s="210"/>
      <c r="G1" s="210"/>
      <c r="H1" s="210"/>
      <c r="I1" s="210"/>
      <c r="J1" s="210"/>
      <c r="K1" s="210"/>
      <c r="L1" s="210"/>
      <c r="M1" s="210"/>
      <c r="N1" s="210"/>
      <c r="O1" s="210"/>
      <c r="P1" s="210"/>
      <c r="Q1" s="210"/>
      <c r="R1" s="210"/>
      <c r="S1" s="210"/>
      <c r="T1" s="210"/>
      <c r="U1" s="210"/>
      <c r="V1" s="209"/>
      <c r="W1" s="34"/>
      <c r="X1" s="75"/>
      <c r="Y1" s="36"/>
      <c r="Z1" s="36"/>
    </row>
    <row r="2" spans="1:26" s="27" customFormat="1" ht="10.5">
      <c r="A2" s="221" t="s">
        <v>113</v>
      </c>
      <c r="B2" s="221"/>
      <c r="C2" s="221"/>
      <c r="D2" s="221"/>
      <c r="E2" s="221"/>
      <c r="F2" s="221"/>
      <c r="G2" s="222"/>
      <c r="H2" s="222"/>
      <c r="I2" s="222"/>
      <c r="J2" s="222"/>
      <c r="K2" s="222"/>
      <c r="L2" s="222"/>
      <c r="M2" s="222"/>
      <c r="N2" s="222"/>
      <c r="O2" s="222"/>
      <c r="P2" s="222"/>
      <c r="Q2" s="222"/>
      <c r="R2" s="222"/>
      <c r="S2" s="222"/>
      <c r="T2" s="222"/>
      <c r="U2" s="222"/>
      <c r="V2" s="222"/>
      <c r="W2" s="34"/>
      <c r="X2" s="75"/>
      <c r="Y2" s="36"/>
      <c r="Z2" s="36"/>
    </row>
    <row r="3" spans="1:26" s="27" customFormat="1" ht="10.5">
      <c r="A3" s="210" t="s">
        <v>84</v>
      </c>
      <c r="B3" s="210"/>
      <c r="C3" s="210"/>
      <c r="D3" s="210"/>
      <c r="E3" s="210"/>
      <c r="F3" s="210"/>
      <c r="G3" s="222"/>
      <c r="H3" s="222"/>
      <c r="I3" s="222"/>
      <c r="J3" s="222"/>
      <c r="K3" s="222"/>
      <c r="L3" s="222"/>
      <c r="M3" s="222"/>
      <c r="N3" s="222"/>
      <c r="O3" s="222"/>
      <c r="P3" s="222"/>
      <c r="Q3" s="222"/>
      <c r="R3" s="222"/>
      <c r="S3" s="222"/>
      <c r="T3" s="222"/>
      <c r="U3" s="222"/>
      <c r="V3" s="222"/>
      <c r="W3" s="34"/>
      <c r="X3" s="75"/>
      <c r="Y3" s="36"/>
      <c r="Z3" s="36"/>
    </row>
    <row r="4" spans="1:26" s="27" customFormat="1" ht="10.5">
      <c r="A4" s="114" t="s">
        <v>273</v>
      </c>
      <c r="B4" s="66"/>
      <c r="C4" s="28"/>
      <c r="D4" s="45"/>
      <c r="E4" s="58"/>
      <c r="F4" s="209" t="s">
        <v>250</v>
      </c>
      <c r="G4" s="209"/>
      <c r="H4" s="209"/>
      <c r="I4" s="30"/>
      <c r="J4" s="216" t="s">
        <v>112</v>
      </c>
      <c r="K4" s="216"/>
      <c r="L4" s="216"/>
      <c r="M4" s="216"/>
      <c r="N4" s="216"/>
      <c r="O4" s="216"/>
      <c r="P4" s="59"/>
      <c r="Q4" s="204" t="s">
        <v>112</v>
      </c>
      <c r="R4" s="204"/>
      <c r="S4" s="204"/>
      <c r="T4" s="204"/>
      <c r="U4" s="204"/>
      <c r="V4" s="204"/>
      <c r="W4" s="34"/>
      <c r="X4" s="75"/>
      <c r="Y4" s="36"/>
      <c r="Z4" s="36"/>
    </row>
    <row r="5" spans="1:27" s="27" customFormat="1" ht="10.5">
      <c r="A5" s="210" t="s">
        <v>167</v>
      </c>
      <c r="B5" s="210"/>
      <c r="C5" s="210"/>
      <c r="D5" s="45"/>
      <c r="E5" s="60"/>
      <c r="F5" s="222" t="s">
        <v>1</v>
      </c>
      <c r="G5" s="222"/>
      <c r="H5" s="222"/>
      <c r="I5" s="30"/>
      <c r="J5" s="223" t="s">
        <v>2</v>
      </c>
      <c r="K5" s="223"/>
      <c r="L5" s="223"/>
      <c r="M5" s="223"/>
      <c r="N5" s="223"/>
      <c r="O5" s="223"/>
      <c r="P5" s="59"/>
      <c r="Q5" s="222" t="s">
        <v>3</v>
      </c>
      <c r="R5" s="222"/>
      <c r="S5" s="222"/>
      <c r="T5" s="222"/>
      <c r="U5" s="222"/>
      <c r="V5" s="222"/>
      <c r="W5" s="34"/>
      <c r="X5" s="76"/>
      <c r="Y5" s="36"/>
      <c r="Z5" s="36"/>
      <c r="AA5" s="74">
        <v>44561</v>
      </c>
    </row>
    <row r="6" spans="1:26" s="30" customFormat="1" ht="21">
      <c r="A6" s="229" t="s">
        <v>4</v>
      </c>
      <c r="B6" s="229" t="s">
        <v>5</v>
      </c>
      <c r="C6" s="203" t="s">
        <v>6</v>
      </c>
      <c r="D6" s="203"/>
      <c r="E6" s="203"/>
      <c r="F6" s="203"/>
      <c r="G6" s="203" t="s">
        <v>7</v>
      </c>
      <c r="H6" s="203"/>
      <c r="I6" s="203" t="s">
        <v>8</v>
      </c>
      <c r="J6" s="203"/>
      <c r="K6" s="203"/>
      <c r="L6" s="203"/>
      <c r="M6" s="203"/>
      <c r="N6" s="203" t="s">
        <v>9</v>
      </c>
      <c r="O6" s="203"/>
      <c r="P6" s="69" t="s">
        <v>10</v>
      </c>
      <c r="Q6" s="205" t="s">
        <v>11</v>
      </c>
      <c r="R6" s="205"/>
      <c r="S6" s="205"/>
      <c r="T6" s="205"/>
      <c r="U6" s="205"/>
      <c r="V6" s="227" t="s">
        <v>12</v>
      </c>
      <c r="W6" s="34"/>
      <c r="X6" s="75"/>
      <c r="Y6" s="36"/>
      <c r="Z6" s="36"/>
    </row>
    <row r="7" spans="1:28" s="30" customFormat="1" ht="53.25">
      <c r="A7" s="230"/>
      <c r="B7" s="230"/>
      <c r="C7" s="68" t="s">
        <v>13</v>
      </c>
      <c r="D7" s="68" t="s">
        <v>14</v>
      </c>
      <c r="E7" s="61" t="s">
        <v>15</v>
      </c>
      <c r="F7" s="61" t="s">
        <v>16</v>
      </c>
      <c r="G7" s="68" t="s">
        <v>17</v>
      </c>
      <c r="H7" s="68" t="s">
        <v>18</v>
      </c>
      <c r="I7" s="68" t="s">
        <v>13</v>
      </c>
      <c r="J7" s="40" t="s">
        <v>19</v>
      </c>
      <c r="K7" s="68" t="s">
        <v>20</v>
      </c>
      <c r="L7" s="62" t="s">
        <v>21</v>
      </c>
      <c r="M7" s="40" t="s">
        <v>22</v>
      </c>
      <c r="N7" s="68" t="s">
        <v>23</v>
      </c>
      <c r="O7" s="62" t="s">
        <v>24</v>
      </c>
      <c r="P7" s="62" t="s">
        <v>10</v>
      </c>
      <c r="Q7" s="68" t="s">
        <v>25</v>
      </c>
      <c r="R7" s="62" t="s">
        <v>26</v>
      </c>
      <c r="S7" s="62" t="s">
        <v>27</v>
      </c>
      <c r="T7" s="62" t="s">
        <v>28</v>
      </c>
      <c r="U7" s="62" t="s">
        <v>29</v>
      </c>
      <c r="V7" s="228"/>
      <c r="W7" s="37"/>
      <c r="X7" s="75"/>
      <c r="Y7" s="35"/>
      <c r="Z7" s="35"/>
      <c r="AB7" s="54"/>
    </row>
    <row r="8" spans="1:27" ht="21">
      <c r="A8" s="19" t="str">
        <f>'3o TRIMESTRE'!A8</f>
        <v>PREGÃO  / Nº 14/2016</v>
      </c>
      <c r="B8" s="19" t="str">
        <f>'3o TRIMESTRE'!B8</f>
        <v>SERVIÇOS DE LIMPEZA URBANA – DESTINAÇÃO FINAL DOS RESÍDUOS SÓLIDOS </v>
      </c>
      <c r="C8" s="19">
        <v>0</v>
      </c>
      <c r="D8" s="19">
        <f>'3o TRIMESTRE'!D8</f>
        <v>0</v>
      </c>
      <c r="E8" s="64">
        <f>'3o TRIMESTRE'!E8</f>
        <v>0</v>
      </c>
      <c r="F8" s="64">
        <f>'3o TRIMESTRE'!F8</f>
        <v>0</v>
      </c>
      <c r="G8" s="19" t="str">
        <f>'3o TRIMESTRE'!G8</f>
        <v>08.165.091/0002-08</v>
      </c>
      <c r="H8" s="19" t="str">
        <f>'3o TRIMESTRE'!H8</f>
        <v>ECOPESA AMBIENTAL S/A                   </v>
      </c>
      <c r="I8" s="17" t="str">
        <f>'3o TRIMESTRE'!I8</f>
        <v>6-022/16</v>
      </c>
      <c r="J8" s="32">
        <f>'3o TRIMESTRE'!J8</f>
        <v>42769</v>
      </c>
      <c r="K8" s="17">
        <f>'3o TRIMESTRE'!K8</f>
        <v>365</v>
      </c>
      <c r="L8" s="64">
        <f>'3o TRIMESTRE'!L8</f>
        <v>38286283.02</v>
      </c>
      <c r="M8" s="32">
        <f>J8+K8+N8</f>
        <v>44776</v>
      </c>
      <c r="N8" s="17">
        <f>'3o TRIMESTRE'!N8</f>
        <v>1642</v>
      </c>
      <c r="O8" s="64">
        <f>'3o TRIMESTRE'!O8</f>
        <v>190010186.01999998</v>
      </c>
      <c r="P8" s="64">
        <f>'3o TRIMESTRE'!P8</f>
        <v>8446263.3</v>
      </c>
      <c r="Q8" s="17" t="str">
        <f>'3o TRIMESTRE'!Q8</f>
        <v>3.3.90.39</v>
      </c>
      <c r="R8" s="64">
        <f>'3o TRIMESTRE'!R8+449673.28</f>
        <v>181424982.03</v>
      </c>
      <c r="S8" s="64"/>
      <c r="T8" s="64">
        <f>'3o TRIMESTRE'!T8+S8</f>
        <v>25710988.3</v>
      </c>
      <c r="U8" s="64">
        <f>'3o TRIMESTRE'!U8+S8</f>
        <v>180975308.75</v>
      </c>
      <c r="V8" s="19" t="str">
        <f>'3o TRIMESTRE'!V8</f>
        <v>andamento</v>
      </c>
      <c r="W8" s="10">
        <f>U8-R8</f>
        <v>-449673.2800000012</v>
      </c>
      <c r="Y8" s="33"/>
      <c r="Z8" s="33"/>
      <c r="AA8" s="38" t="str">
        <f>IF(M8&gt;$AA$5,"verdadeiro","Falso")</f>
        <v>verdadeiro</v>
      </c>
    </row>
    <row r="9" spans="1:27" ht="21">
      <c r="A9" s="19" t="str">
        <f>'3o TRIMESTRE'!A9</f>
        <v>CONCORRÊNCIA 03/2016</v>
      </c>
      <c r="B9" s="19" t="str">
        <f>'3o TRIMESTRE'!B9</f>
        <v>SERVIÇOS DE APOIO TÉCNICO AO MKONITORAMENTO DAS AÇÕES DE MANUTENÇÃO DO SISTEMA VIÁRIO DA CIDADE DO RECIFE, </v>
      </c>
      <c r="C9" s="19">
        <v>0</v>
      </c>
      <c r="D9" s="19">
        <f>'3o TRIMESTRE'!D9</f>
        <v>0</v>
      </c>
      <c r="E9" s="64">
        <f>'3o TRIMESTRE'!E9</f>
        <v>0</v>
      </c>
      <c r="F9" s="64">
        <f>'3o TRIMESTRE'!F9</f>
        <v>0</v>
      </c>
      <c r="G9" s="19" t="str">
        <f>'3o TRIMESTRE'!G9</f>
        <v>41.075.755/0001-32 </v>
      </c>
      <c r="H9" s="19" t="str">
        <f>'3o TRIMESTRE'!H9</f>
        <v>NORCONSULT PROJETOS E CONSULTORIA LTDA</v>
      </c>
      <c r="I9" s="17" t="str">
        <f>'3o TRIMESTRE'!I9</f>
        <v>6-023/16</v>
      </c>
      <c r="J9" s="32">
        <f>'3o TRIMESTRE'!J9</f>
        <v>42772</v>
      </c>
      <c r="K9" s="17">
        <f>'3o TRIMESTRE'!K9</f>
        <v>365</v>
      </c>
      <c r="L9" s="64">
        <f>'3o TRIMESTRE'!L9</f>
        <v>1777584.96</v>
      </c>
      <c r="M9" s="32">
        <f aca="true" t="shared" si="0" ref="M9:M72">J9+K9+N9</f>
        <v>44597</v>
      </c>
      <c r="N9" s="17">
        <f>'3o TRIMESTRE'!N9</f>
        <v>1460</v>
      </c>
      <c r="O9" s="64">
        <f>'3o TRIMESTRE'!O9</f>
        <v>8848759.44</v>
      </c>
      <c r="P9" s="64">
        <f>'3o TRIMESTRE'!P9</f>
        <v>88092.12</v>
      </c>
      <c r="Q9" s="17" t="str">
        <f>'3o TRIMESTRE'!Q9</f>
        <v>3.3.90.39</v>
      </c>
      <c r="R9" s="64">
        <f>'3o TRIMESTRE'!R9</f>
        <v>6723678.390000001</v>
      </c>
      <c r="S9" s="64"/>
      <c r="T9" s="64">
        <f>'3o TRIMESTRE'!T9+S9</f>
        <v>123781.23000000001</v>
      </c>
      <c r="U9" s="64">
        <f>'3o TRIMESTRE'!U9+S9</f>
        <v>6723678.389999999</v>
      </c>
      <c r="V9" s="19" t="str">
        <f>'3o TRIMESTRE'!V9</f>
        <v>encerrado</v>
      </c>
      <c r="W9" s="10">
        <f aca="true" t="shared" si="1" ref="W9:W72">U9-R9</f>
        <v>0</v>
      </c>
      <c r="Y9" s="33"/>
      <c r="Z9" s="33"/>
      <c r="AA9" s="38" t="str">
        <f aca="true" t="shared" si="2" ref="AA9:AA72">IF(M9&gt;$AA$5,"verdadeiro","Falso")</f>
        <v>verdadeiro</v>
      </c>
    </row>
    <row r="10" spans="1:27" ht="21">
      <c r="A10" s="19" t="str">
        <f>'3o TRIMESTRE'!A10</f>
        <v>PREGÃO  / Nº 14/2016</v>
      </c>
      <c r="B10" s="19" t="str">
        <f>'3o TRIMESTRE'!B10</f>
        <v>SERVIÇOS DE LIMPEZA URBANA – DESTINAÇÃO FINAL DOS RESÍDUOS SÓLIDOS </v>
      </c>
      <c r="C10" s="19">
        <v>0</v>
      </c>
      <c r="D10" s="19">
        <f>'3o TRIMESTRE'!D10</f>
        <v>0</v>
      </c>
      <c r="E10" s="64">
        <f>'3o TRIMESTRE'!E10</f>
        <v>0</v>
      </c>
      <c r="F10" s="64">
        <f>'3o TRIMESTRE'!F10</f>
        <v>0</v>
      </c>
      <c r="G10" s="19" t="str">
        <f>'3o TRIMESTRE'!G10</f>
        <v>08.165.091/0002-08</v>
      </c>
      <c r="H10" s="19" t="str">
        <f>'3o TRIMESTRE'!H10</f>
        <v>ECOPESA AMBIENTAL S/A                   </v>
      </c>
      <c r="I10" s="17" t="str">
        <f>'3o TRIMESTRE'!I10</f>
        <v>6-024/16</v>
      </c>
      <c r="J10" s="32">
        <f>'3o TRIMESTRE'!J10</f>
        <v>42769</v>
      </c>
      <c r="K10" s="17">
        <f>'3o TRIMESTRE'!K10</f>
        <v>365</v>
      </c>
      <c r="L10" s="64">
        <f>'3o TRIMESTRE'!L10</f>
        <v>8888698.49</v>
      </c>
      <c r="M10" s="32">
        <f t="shared" si="0"/>
        <v>44776</v>
      </c>
      <c r="N10" s="17">
        <f>'3o TRIMESTRE'!N10</f>
        <v>1642</v>
      </c>
      <c r="O10" s="64">
        <f>'3o TRIMESTRE'!O10</f>
        <v>43850158.57</v>
      </c>
      <c r="P10" s="64">
        <f>'3o TRIMESTRE'!P10</f>
        <v>2479017.23</v>
      </c>
      <c r="Q10" s="17" t="str">
        <f>'3o TRIMESTRE'!Q10</f>
        <v>3.3.90.39</v>
      </c>
      <c r="R10" s="64">
        <f>'3o TRIMESTRE'!R10</f>
        <v>42836389.18000001</v>
      </c>
      <c r="S10" s="64"/>
      <c r="T10" s="64">
        <f>'3o TRIMESTRE'!T10+S10</f>
        <v>6320341.2299999995</v>
      </c>
      <c r="U10" s="64">
        <f>'3o TRIMESTRE'!U10+S10</f>
        <v>42836399.46000001</v>
      </c>
      <c r="V10" s="19" t="str">
        <f>'3o TRIMESTRE'!V10</f>
        <v>andamento</v>
      </c>
      <c r="W10" s="10">
        <f t="shared" si="1"/>
        <v>10.280000001192093</v>
      </c>
      <c r="Y10" s="33"/>
      <c r="Z10" s="33"/>
      <c r="AA10" s="38" t="str">
        <f t="shared" si="2"/>
        <v>verdadeiro</v>
      </c>
    </row>
    <row r="11" spans="1:27" ht="21">
      <c r="A11" s="19" t="str">
        <f>'3o TRIMESTRE'!A11</f>
        <v>PREGÃO PRESENCIAL/ Nº 014/2016</v>
      </c>
      <c r="B11" s="19" t="str">
        <f>'3o TRIMESTRE'!B11</f>
        <v>SERVIÇO DE LIMPEZA URBANA - DESTINAÇÃO FINAL DOS RESÍDUOS SÓLIDOS</v>
      </c>
      <c r="C11" s="19">
        <v>0</v>
      </c>
      <c r="D11" s="19">
        <f>'3o TRIMESTRE'!D11</f>
        <v>0</v>
      </c>
      <c r="E11" s="64">
        <f>'3o TRIMESTRE'!E11</f>
        <v>0</v>
      </c>
      <c r="F11" s="64">
        <f>'3o TRIMESTRE'!F11</f>
        <v>0</v>
      </c>
      <c r="G11" s="19" t="str">
        <f>'3o TRIMESTRE'!G11</f>
        <v>41.116.138/0001-38</v>
      </c>
      <c r="H11" s="19" t="str">
        <f>'3o TRIMESTRE'!H11</f>
        <v>CICLO AMBIENTAL LTDA</v>
      </c>
      <c r="I11" s="17" t="str">
        <f>'3o TRIMESTRE'!I11</f>
        <v>6-025/16</v>
      </c>
      <c r="J11" s="32">
        <f>'3o TRIMESTRE'!J11</f>
        <v>42814</v>
      </c>
      <c r="K11" s="17">
        <f>'3o TRIMESTRE'!K11</f>
        <v>365</v>
      </c>
      <c r="L11" s="64">
        <f>'3o TRIMESTRE'!L11</f>
        <v>3423770.88</v>
      </c>
      <c r="M11" s="32">
        <f t="shared" si="0"/>
        <v>44959</v>
      </c>
      <c r="N11" s="17">
        <f>'3o TRIMESTRE'!N11</f>
        <v>1780</v>
      </c>
      <c r="O11" s="64">
        <f>'3o TRIMESTRE'!O11</f>
        <v>23484577.2</v>
      </c>
      <c r="P11" s="64">
        <f>'3o TRIMESTRE'!P11</f>
        <v>559078.56</v>
      </c>
      <c r="Q11" s="17" t="str">
        <f>'3o TRIMESTRE'!Q11</f>
        <v>3.3.90.39</v>
      </c>
      <c r="R11" s="64">
        <f>'3o TRIMESTRE'!R11</f>
        <v>21047005.59</v>
      </c>
      <c r="S11" s="64"/>
      <c r="T11" s="64">
        <f>'3o TRIMESTRE'!T11+S11</f>
        <v>885906.21</v>
      </c>
      <c r="U11" s="64">
        <f>'3o TRIMESTRE'!U11+S11</f>
        <v>21047005.59</v>
      </c>
      <c r="V11" s="19" t="str">
        <f>'3o TRIMESTRE'!V11</f>
        <v>andamento</v>
      </c>
      <c r="W11" s="10">
        <f t="shared" si="1"/>
        <v>0</v>
      </c>
      <c r="Y11" s="33"/>
      <c r="Z11" s="33"/>
      <c r="AA11" s="38" t="str">
        <f t="shared" si="2"/>
        <v>verdadeiro</v>
      </c>
    </row>
    <row r="12" spans="1:27" ht="31.5">
      <c r="A12" s="19" t="str">
        <f>'3o TRIMESTRE'!A12</f>
        <v>TOMADA DE PREÇOS /nº 07/2016</v>
      </c>
      <c r="B12" s="19" t="str">
        <f>'3o TRIMESTRE'!B12</f>
        <v>SEVIÇOS CONTÍNUOS DE MANUTENÇÃO CORRETIVA E PREVENTIVA E EXPANSÃO DA ILUMINAÇÃO ESPECIAL NA CIDADE DO RECIFE</v>
      </c>
      <c r="C12" s="19">
        <v>0</v>
      </c>
      <c r="D12" s="19">
        <f>'3o TRIMESTRE'!D12</f>
        <v>0</v>
      </c>
      <c r="E12" s="64">
        <f>'3o TRIMESTRE'!E12</f>
        <v>0</v>
      </c>
      <c r="F12" s="64">
        <f>'3o TRIMESTRE'!F12</f>
        <v>0</v>
      </c>
      <c r="G12" s="19" t="str">
        <f>'3o TRIMESTRE'!G12</f>
        <v>41.116.138/0001-38</v>
      </c>
      <c r="H12" s="19" t="str">
        <f>'3o TRIMESTRE'!H12</f>
        <v>REAL ENERGY LTDA                                            </v>
      </c>
      <c r="I12" s="17" t="str">
        <f>'3o TRIMESTRE'!I12</f>
        <v>6-002/17</v>
      </c>
      <c r="J12" s="32">
        <f>'3o TRIMESTRE'!J12</f>
        <v>42795</v>
      </c>
      <c r="K12" s="17">
        <f>'3o TRIMESTRE'!K12</f>
        <v>365</v>
      </c>
      <c r="L12" s="64">
        <f>'3o TRIMESTRE'!L12</f>
        <v>1223866.8</v>
      </c>
      <c r="M12" s="32">
        <f t="shared" si="0"/>
        <v>44710</v>
      </c>
      <c r="N12" s="17">
        <f>'3o TRIMESTRE'!N12+90</f>
        <v>1550</v>
      </c>
      <c r="O12" s="64">
        <f>'3o TRIMESTRE'!O12+1839933.8</f>
        <v>6763773.32</v>
      </c>
      <c r="P12" s="64">
        <f>'3o TRIMESTRE'!P12</f>
        <v>81998.64</v>
      </c>
      <c r="Q12" s="17" t="str">
        <f>'3o TRIMESTRE'!Q12</f>
        <v>3.3.90.39</v>
      </c>
      <c r="R12" s="64">
        <f>'3o TRIMESTRE'!R12+1793935.44-(229070.31*2)</f>
        <v>7474461.2299999995</v>
      </c>
      <c r="S12" s="64"/>
      <c r="T12" s="64">
        <f>'3o TRIMESTRE'!T12+S12</f>
        <v>219564.08</v>
      </c>
      <c r="U12" s="64">
        <f>'3o TRIMESTRE'!U12+S12</f>
        <v>6138666.410000001</v>
      </c>
      <c r="V12" s="19" t="str">
        <f>'3o TRIMESTRE'!V12</f>
        <v>encerrado</v>
      </c>
      <c r="W12" s="10">
        <f t="shared" si="1"/>
        <v>-1335794.8199999984</v>
      </c>
      <c r="X12" s="78">
        <v>413985.09</v>
      </c>
      <c r="Y12" s="33">
        <f>W12+X12</f>
        <v>-921809.7299999984</v>
      </c>
      <c r="Z12" s="33"/>
      <c r="AA12" s="38" t="str">
        <f t="shared" si="2"/>
        <v>verdadeiro</v>
      </c>
    </row>
    <row r="13" spans="1:27" ht="31.5">
      <c r="A13" s="19" t="str">
        <f>'3o TRIMESTRE'!A13</f>
        <v> PREGÃO PRESENCIAL Licitação: 4/2017</v>
      </c>
      <c r="B13" s="19" t="str">
        <f>'3o TRIMESTRE'!B13</f>
        <v>SERVIÇOS ESPECIALIZADOS DE ENGENHARIA AGRONÔMICA COM SERVIÇOS DE MANUTENÇÃO DE ARBORETO, PARQUES, PRAÇAS E DEMAIS ÁREAS VERDES</v>
      </c>
      <c r="C13" s="19" t="s">
        <v>41</v>
      </c>
      <c r="D13" s="19">
        <f>'3o TRIMESTRE'!D13</f>
        <v>0</v>
      </c>
      <c r="E13" s="64">
        <f>'3o TRIMESTRE'!E13</f>
        <v>0</v>
      </c>
      <c r="F13" s="64">
        <f>'3o TRIMESTRE'!F13</f>
        <v>0</v>
      </c>
      <c r="G13" s="19" t="str">
        <f>'3o TRIMESTRE'!G13</f>
        <v>00.449.936/0001-02</v>
      </c>
      <c r="H13" s="19" t="str">
        <f>'3o TRIMESTRE'!H13</f>
        <v>ENGEMAIA E CIA LTDA</v>
      </c>
      <c r="I13" s="17" t="str">
        <f>'3o TRIMESTRE'!I13</f>
        <v>6-013/17</v>
      </c>
      <c r="J13" s="32">
        <f>'3o TRIMESTRE'!J13</f>
        <v>42940</v>
      </c>
      <c r="K13" s="17">
        <f>'3o TRIMESTRE'!K13</f>
        <v>365</v>
      </c>
      <c r="L13" s="64">
        <f>'3o TRIMESTRE'!L13</f>
        <v>11944999.92</v>
      </c>
      <c r="M13" s="32">
        <f t="shared" si="0"/>
        <v>44765</v>
      </c>
      <c r="N13" s="17">
        <f>'3o TRIMESTRE'!N13</f>
        <v>1460</v>
      </c>
      <c r="O13" s="64">
        <f>'3o TRIMESTRE'!O13</f>
        <v>60684020.43</v>
      </c>
      <c r="P13" s="64">
        <f>'3o TRIMESTRE'!P13</f>
        <v>1492079.88</v>
      </c>
      <c r="Q13" s="17" t="str">
        <f>'3o TRIMESTRE'!Q13</f>
        <v>3.3.90.39</v>
      </c>
      <c r="R13" s="64">
        <f>'3o TRIMESTRE'!R13</f>
        <v>47074444.919999994</v>
      </c>
      <c r="S13" s="64"/>
      <c r="T13" s="64">
        <f>'3o TRIMESTRE'!T13+S13</f>
        <v>6219026.84</v>
      </c>
      <c r="U13" s="64">
        <f>'3o TRIMESTRE'!U13+S13</f>
        <v>47074444.92000001</v>
      </c>
      <c r="V13" s="19" t="str">
        <f>'3o TRIMESTRE'!V13</f>
        <v>encerrado</v>
      </c>
      <c r="W13" s="10">
        <f t="shared" si="1"/>
        <v>0</v>
      </c>
      <c r="Y13" s="33"/>
      <c r="Z13" s="33"/>
      <c r="AA13" s="38" t="str">
        <f t="shared" si="2"/>
        <v>verdadeiro</v>
      </c>
    </row>
    <row r="14" spans="1:27" ht="31.5">
      <c r="A14" s="19" t="str">
        <f>'3o TRIMESTRE'!A14</f>
        <v>CONCORRÊNCIA Licitação: 10/2018</v>
      </c>
      <c r="B14" s="19" t="str">
        <f>'3o TRIMESTRE'!B14</f>
        <v>SERVIÇOS DE MANUTENÇÃO PREVENTIVA DO SISTEMA DE MACRODRENAGEM EM TODAS AS RPA'S DA CIDADE DO RECIFE - RPA 01 E 06</v>
      </c>
      <c r="C14" s="19" t="s">
        <v>34</v>
      </c>
      <c r="D14" s="19" t="str">
        <f>'3o TRIMESTRE'!D14</f>
        <v>FINISA</v>
      </c>
      <c r="E14" s="64">
        <f>'3o TRIMESTRE'!E14</f>
        <v>184899815.11999997</v>
      </c>
      <c r="F14" s="64">
        <f>'3o TRIMESTRE'!F14</f>
        <v>0</v>
      </c>
      <c r="G14" s="19" t="str">
        <f>'3o TRIMESTRE'!G14</f>
        <v>01.514.128/0001-36</v>
      </c>
      <c r="H14" s="19" t="str">
        <f>'3o TRIMESTRE'!H14</f>
        <v>SCAVE SERVICOS DE ENGENHARIA E LOCACAO LTDA</v>
      </c>
      <c r="I14" s="17" t="str">
        <f>'3o TRIMESTRE'!I14</f>
        <v>6-017/19</v>
      </c>
      <c r="J14" s="32">
        <f>'3o TRIMESTRE'!J14</f>
        <v>43571</v>
      </c>
      <c r="K14" s="17">
        <f>'3o TRIMESTRE'!K14</f>
        <v>1125</v>
      </c>
      <c r="L14" s="64">
        <f>'3o TRIMESTRE'!L14</f>
        <v>10309281.7</v>
      </c>
      <c r="M14" s="32">
        <f t="shared" si="0"/>
        <v>44696</v>
      </c>
      <c r="N14" s="17">
        <f>'3o TRIMESTRE'!N14</f>
        <v>0</v>
      </c>
      <c r="O14" s="64">
        <f>'3o TRIMESTRE'!O14</f>
        <v>0</v>
      </c>
      <c r="P14" s="64">
        <f>'3o TRIMESTRE'!P14</f>
        <v>2800566.42</v>
      </c>
      <c r="Q14" s="17" t="str">
        <f>'3o TRIMESTRE'!Q14</f>
        <v>4.4.90.39</v>
      </c>
      <c r="R14" s="64">
        <f>'3o TRIMESTRE'!R14</f>
        <v>6258452.369999999</v>
      </c>
      <c r="S14" s="64"/>
      <c r="T14" s="64">
        <f>'3o TRIMESTRE'!T14+S14</f>
        <v>1784003.31</v>
      </c>
      <c r="U14" s="64">
        <f>'3o TRIMESTRE'!U14+S14</f>
        <v>6258452.370000001</v>
      </c>
      <c r="V14" s="19" t="s">
        <v>188</v>
      </c>
      <c r="W14" s="10">
        <f t="shared" si="1"/>
        <v>0</v>
      </c>
      <c r="Y14" s="33"/>
      <c r="Z14" s="33"/>
      <c r="AA14" s="38" t="str">
        <f t="shared" si="2"/>
        <v>verdadeiro</v>
      </c>
    </row>
    <row r="15" spans="1:27" ht="31.5">
      <c r="A15" s="19" t="str">
        <f>'3o TRIMESTRE'!A15</f>
        <v>CONCORRÊNCIA Licitação: 10/2018</v>
      </c>
      <c r="B15" s="19" t="str">
        <f>'3o TRIMESTRE'!B15</f>
        <v>SERVIÇOS DE MANUTENÇÃO PREVENTIVA DO SISTEMA DE MACRODRENAGEM EM TODAS AS RPA'S DA CIDADE DO RECIFE - RPA 02 e 03</v>
      </c>
      <c r="C15" s="19" t="s">
        <v>89</v>
      </c>
      <c r="D15" s="19" t="str">
        <f>'3o TRIMESTRE'!D15</f>
        <v>FINISA</v>
      </c>
      <c r="E15" s="64">
        <f>'3o TRIMESTRE'!E15</f>
        <v>184899815.11999997</v>
      </c>
      <c r="F15" s="64">
        <f>'3o TRIMESTRE'!F15</f>
        <v>0</v>
      </c>
      <c r="G15" s="19" t="str">
        <f>'3o TRIMESTRE'!G15</f>
        <v>01.514.128/0001-36</v>
      </c>
      <c r="H15" s="19" t="str">
        <f>'3o TRIMESTRE'!H15</f>
        <v>SCAVE SERVICOS DE ENGENHARIA E LOCACAO LTDA</v>
      </c>
      <c r="I15" s="17" t="str">
        <f>'3o TRIMESTRE'!I15</f>
        <v>6-018/19</v>
      </c>
      <c r="J15" s="32">
        <f>'3o TRIMESTRE'!J15</f>
        <v>43571</v>
      </c>
      <c r="K15" s="17">
        <f>'3o TRIMESTRE'!K15</f>
        <v>1125</v>
      </c>
      <c r="L15" s="64">
        <f>'3o TRIMESTRE'!L15</f>
        <v>11446659.06</v>
      </c>
      <c r="M15" s="32">
        <f t="shared" si="0"/>
        <v>44696</v>
      </c>
      <c r="N15" s="17">
        <f>'3o TRIMESTRE'!N15</f>
        <v>0</v>
      </c>
      <c r="O15" s="64">
        <f>'3o TRIMESTRE'!O15</f>
        <v>5430.8</v>
      </c>
      <c r="P15" s="64">
        <f>'3o TRIMESTRE'!P15</f>
        <v>1849376.19</v>
      </c>
      <c r="Q15" s="17" t="str">
        <f>'3o TRIMESTRE'!Q15</f>
        <v>4.4.90.39</v>
      </c>
      <c r="R15" s="64">
        <f>'3o TRIMESTRE'!R15</f>
        <v>6500517.92</v>
      </c>
      <c r="S15" s="64"/>
      <c r="T15" s="64">
        <f>'3o TRIMESTRE'!T15+S15</f>
        <v>2064335.97</v>
      </c>
      <c r="U15" s="64">
        <f>'3o TRIMESTRE'!U15+S15</f>
        <v>6500517.919999999</v>
      </c>
      <c r="V15" s="19" t="str">
        <f>'3o TRIMESTRE'!V15</f>
        <v>encerrado</v>
      </c>
      <c r="W15" s="10">
        <f t="shared" si="1"/>
        <v>0</v>
      </c>
      <c r="Y15" s="33"/>
      <c r="Z15" s="33"/>
      <c r="AA15" s="38" t="str">
        <f t="shared" si="2"/>
        <v>verdadeiro</v>
      </c>
    </row>
    <row r="16" spans="1:27" ht="31.5">
      <c r="A16" s="19" t="str">
        <f>'3o TRIMESTRE'!A16</f>
        <v>CONCORRÊNCIA Licitação: 10/2018</v>
      </c>
      <c r="B16" s="19" t="str">
        <f>'3o TRIMESTRE'!B16</f>
        <v>SERVIÇOS DE MANUTENÇÃO PREVENTIVA DO SISTEMA DE MACRODRENAGEM EM TODAS AS RPA'S DA CIDADE DO RECIFE - RPA 04, 05</v>
      </c>
      <c r="C16" s="19">
        <v>0</v>
      </c>
      <c r="D16" s="19" t="str">
        <f>'3o TRIMESTRE'!D16</f>
        <v>FINISA</v>
      </c>
      <c r="E16" s="64">
        <f>'3o TRIMESTRE'!E16</f>
        <v>184899815.11999997</v>
      </c>
      <c r="F16" s="64">
        <f>'3o TRIMESTRE'!F16</f>
        <v>0</v>
      </c>
      <c r="G16" s="19" t="str">
        <f>'3o TRIMESTRE'!G16</f>
        <v>01.514.128/0001-36</v>
      </c>
      <c r="H16" s="19" t="str">
        <f>'3o TRIMESTRE'!H16</f>
        <v>SCAVE SERVICOS DE ENGENHARIA E LOCACAO LTDA</v>
      </c>
      <c r="I16" s="17" t="str">
        <f>'3o TRIMESTRE'!I16</f>
        <v>6-019/19</v>
      </c>
      <c r="J16" s="32">
        <f>'3o TRIMESTRE'!J16</f>
        <v>43571</v>
      </c>
      <c r="K16" s="17">
        <f>'3o TRIMESTRE'!K16</f>
        <v>1125</v>
      </c>
      <c r="L16" s="64">
        <f>'3o TRIMESTRE'!L16</f>
        <v>11869839.78</v>
      </c>
      <c r="M16" s="32">
        <f t="shared" si="0"/>
        <v>44741</v>
      </c>
      <c r="N16" s="17">
        <f>'3o TRIMESTRE'!N16+45</f>
        <v>45</v>
      </c>
      <c r="O16" s="64">
        <f>'3o TRIMESTRE'!O16</f>
        <v>310156</v>
      </c>
      <c r="P16" s="64">
        <f>'3o TRIMESTRE'!P16</f>
        <v>3232749.75</v>
      </c>
      <c r="Q16" s="17" t="str">
        <f>'3o TRIMESTRE'!Q16</f>
        <v>4.4.90.39</v>
      </c>
      <c r="R16" s="64">
        <f>'3o TRIMESTRE'!R16+139460.49</f>
        <v>9695289.049999999</v>
      </c>
      <c r="S16" s="64"/>
      <c r="T16" s="64">
        <f>'3o TRIMESTRE'!T16+S16</f>
        <v>2689195.29</v>
      </c>
      <c r="U16" s="64">
        <f>'3o TRIMESTRE'!U16+S16</f>
        <v>9555828.56</v>
      </c>
      <c r="V16" s="19" t="s">
        <v>188</v>
      </c>
      <c r="W16" s="10">
        <f t="shared" si="1"/>
        <v>-139460.48999999836</v>
      </c>
      <c r="Y16" s="33"/>
      <c r="Z16" s="33"/>
      <c r="AA16" s="38" t="str">
        <f t="shared" si="2"/>
        <v>verdadeiro</v>
      </c>
    </row>
    <row r="17" spans="1:27" ht="53.25">
      <c r="A17" s="19" t="str">
        <f>'3o TRIMESTRE'!A17</f>
        <v>CONCORRÊNCIA Licitação:    004/2019</v>
      </c>
      <c r="B17" s="19" t="str">
        <f>'3o TRIMESTRE'!B17</f>
        <v>SERVIÇOS COMPLEMENTARES DE LIMPEZA URBANA EM ÁREAS PLANAS E DE TALUDE E SERVIÇOS DE MANUTENÇÃO CONTÍNUA PREVENTIVA E CORRETIVA DA ARBORIZAÇÃO URBANA EM MORROS, INCLUINDO A LOCAÇÃO DE VEÍCULOS E EQUIPAMENTOS.</v>
      </c>
      <c r="C17" s="19">
        <v>0</v>
      </c>
      <c r="D17" s="19">
        <f>'3o TRIMESTRE'!D17</f>
        <v>0</v>
      </c>
      <c r="E17" s="64">
        <f>'3o TRIMESTRE'!E17</f>
        <v>0</v>
      </c>
      <c r="F17" s="64">
        <f>'3o TRIMESTRE'!F17</f>
        <v>0</v>
      </c>
      <c r="G17" s="19" t="str">
        <f>'3o TRIMESTRE'!G17</f>
        <v>40.884.405/0001-54</v>
      </c>
      <c r="H17" s="19" t="str">
        <f>'3o TRIMESTRE'!H17</f>
        <v>LOQUIPE LOCACAO DE EQUIPAMENTOS E MAO DE OBRA LTDA</v>
      </c>
      <c r="I17" s="17" t="str">
        <f>'3o TRIMESTRE'!I17</f>
        <v>6-024/19</v>
      </c>
      <c r="J17" s="32">
        <f>'3o TRIMESTRE'!J17</f>
        <v>43633</v>
      </c>
      <c r="K17" s="17">
        <f>'3o TRIMESTRE'!K17</f>
        <v>395</v>
      </c>
      <c r="L17" s="64">
        <f>'3o TRIMESTRE'!L17</f>
        <v>12390281.28</v>
      </c>
      <c r="M17" s="32">
        <f t="shared" si="0"/>
        <v>45123</v>
      </c>
      <c r="N17" s="17">
        <f>'3o TRIMESTRE'!N17</f>
        <v>1095</v>
      </c>
      <c r="O17" s="64">
        <f>'3o TRIMESTRE'!O17</f>
        <v>42968949.84</v>
      </c>
      <c r="P17" s="64">
        <f>'3o TRIMESTRE'!P17</f>
        <v>2473711.68</v>
      </c>
      <c r="Q17" s="17" t="str">
        <f>'3o TRIMESTRE'!Q17</f>
        <v>3.3.90.39</v>
      </c>
      <c r="R17" s="64">
        <f>'3o TRIMESTRE'!R17+5041476.38</f>
        <v>33044468.32</v>
      </c>
      <c r="S17" s="64"/>
      <c r="T17" s="64">
        <f>'3o TRIMESTRE'!T17+S17</f>
        <v>7332445</v>
      </c>
      <c r="U17" s="64">
        <f>'3o TRIMESTRE'!U17+S17</f>
        <v>28002991.94</v>
      </c>
      <c r="V17" s="19" t="str">
        <f>'3o TRIMESTRE'!V17</f>
        <v>andamento</v>
      </c>
      <c r="W17" s="10">
        <f t="shared" si="1"/>
        <v>-5041476.379999999</v>
      </c>
      <c r="Y17" s="33"/>
      <c r="Z17" s="33"/>
      <c r="AA17" s="38" t="str">
        <f t="shared" si="2"/>
        <v>verdadeiro</v>
      </c>
    </row>
    <row r="18" spans="1:27" ht="63.75">
      <c r="A18" s="19" t="str">
        <f>'3o TRIMESTRE'!A18</f>
        <v>CONCORRÊNCIA / nº 007/2019</v>
      </c>
      <c r="B18" s="19" t="str">
        <f>'3o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19" t="s">
        <v>153</v>
      </c>
      <c r="D18" s="19">
        <f>'3o TRIMESTRE'!D18</f>
        <v>0</v>
      </c>
      <c r="E18" s="64">
        <f>'3o TRIMESTRE'!E18+15823300.23</f>
        <v>15823300.23</v>
      </c>
      <c r="F18" s="64">
        <f>'3o TRIMESTRE'!F18</f>
        <v>0</v>
      </c>
      <c r="G18" s="19" t="str">
        <f>'3o TRIMESTRE'!G18</f>
        <v>41.116.138/0001-38</v>
      </c>
      <c r="H18" s="19" t="str">
        <f>'3o TRIMESTRE'!H18</f>
        <v>REAL ENERGY LTDA</v>
      </c>
      <c r="I18" s="17" t="str">
        <f>'3o TRIMESTRE'!I18</f>
        <v>6-051/19</v>
      </c>
      <c r="J18" s="32">
        <f>'3o TRIMESTRE'!J18</f>
        <v>43769</v>
      </c>
      <c r="K18" s="17">
        <f>'3o TRIMESTRE'!K18</f>
        <v>760</v>
      </c>
      <c r="L18" s="64">
        <f>'3o TRIMESTRE'!L18</f>
        <v>2584195.6</v>
      </c>
      <c r="M18" s="32">
        <f t="shared" si="0"/>
        <v>44619</v>
      </c>
      <c r="N18" s="17">
        <f>'3o TRIMESTRE'!N18</f>
        <v>90</v>
      </c>
      <c r="O18" s="64">
        <f>'3o TRIMESTRE'!O18</f>
        <v>327163.7</v>
      </c>
      <c r="P18" s="64">
        <f>'3o TRIMESTRE'!P18</f>
        <v>-44558.22</v>
      </c>
      <c r="Q18" s="17" t="str">
        <f>'3o TRIMESTRE'!Q18</f>
        <v>3.3.90.39</v>
      </c>
      <c r="R18" s="64">
        <f>'3o TRIMESTRE'!R18</f>
        <v>2051214.3</v>
      </c>
      <c r="S18" s="64"/>
      <c r="T18" s="64">
        <f>'3o TRIMESTRE'!T18+S18</f>
        <v>65458.07</v>
      </c>
      <c r="U18" s="64">
        <f>'3o TRIMESTRE'!U18+S18</f>
        <v>2051214.3000000003</v>
      </c>
      <c r="V18" s="19" t="s">
        <v>188</v>
      </c>
      <c r="W18" s="10">
        <f t="shared" si="1"/>
        <v>0</v>
      </c>
      <c r="Y18" s="33"/>
      <c r="Z18" s="33"/>
      <c r="AA18" s="38" t="str">
        <f t="shared" si="2"/>
        <v>verdadeiro</v>
      </c>
    </row>
    <row r="19" spans="1:27" ht="21">
      <c r="A19" s="19" t="str">
        <f>'3o TRIMESTRE'!A19</f>
        <v>TOMADA DE PREÇOS Licitação: 1/2020</v>
      </c>
      <c r="B19" s="19" t="str">
        <f>'3o TRIMESTRE'!B19</f>
        <v>PRESTAÇÃO DE SERVIÇO DE MANUTENÇÃO E RECUPERAÇÃO AMBIENTAL DO ATERRO CONTROLADO DA MURIBECA</v>
      </c>
      <c r="C19" s="19">
        <v>0</v>
      </c>
      <c r="D19" s="19">
        <f>'3o TRIMESTRE'!D19</f>
        <v>0</v>
      </c>
      <c r="E19" s="64">
        <f>'3o TRIMESTRE'!E19</f>
        <v>0</v>
      </c>
      <c r="F19" s="64">
        <f>'3o TRIMESTRE'!F19</f>
        <v>0</v>
      </c>
      <c r="G19" s="19" t="str">
        <f>'3o TRIMESTRE'!G19</f>
        <v>07.693.988/0001-60</v>
      </c>
      <c r="H19" s="19" t="str">
        <f>'3o TRIMESTRE'!H19</f>
        <v>F R F ENGENHARIA LTDA</v>
      </c>
      <c r="I19" s="17" t="str">
        <f>'3o TRIMESTRE'!I19</f>
        <v>6-013/20</v>
      </c>
      <c r="J19" s="32">
        <f>'3o TRIMESTRE'!J19</f>
        <v>44007</v>
      </c>
      <c r="K19" s="17">
        <f>'3o TRIMESTRE'!K19</f>
        <v>760</v>
      </c>
      <c r="L19" s="64">
        <f>'3o TRIMESTRE'!L19</f>
        <v>1152030.38</v>
      </c>
      <c r="M19" s="32">
        <f t="shared" si="0"/>
        <v>44947</v>
      </c>
      <c r="N19" s="17">
        <f>'3o TRIMESTRE'!N19</f>
        <v>180</v>
      </c>
      <c r="O19" s="64">
        <f>'3o TRIMESTRE'!O19</f>
        <v>0</v>
      </c>
      <c r="P19" s="64">
        <f>'3o TRIMESTRE'!P19</f>
        <v>0</v>
      </c>
      <c r="Q19" s="17" t="str">
        <f>'3o TRIMESTRE'!Q19</f>
        <v>3.3.90.39</v>
      </c>
      <c r="R19" s="64">
        <f>'3o TRIMESTRE'!R19+171561.74</f>
        <v>1066523.23</v>
      </c>
      <c r="S19" s="64"/>
      <c r="T19" s="64">
        <f>'3o TRIMESTRE'!T19+S19</f>
        <v>226035.96999999997</v>
      </c>
      <c r="U19" s="64">
        <f>'3o TRIMESTRE'!U19+S19</f>
        <v>894961.49</v>
      </c>
      <c r="V19" s="19" t="str">
        <f>'3o TRIMESTRE'!V19</f>
        <v>andamento</v>
      </c>
      <c r="W19" s="10">
        <f t="shared" si="1"/>
        <v>-171561.74</v>
      </c>
      <c r="X19" s="79"/>
      <c r="Y19" s="41"/>
      <c r="Z19" s="41"/>
      <c r="AA19" s="38" t="str">
        <f t="shared" si="2"/>
        <v>verdadeiro</v>
      </c>
    </row>
    <row r="20" spans="1:27" ht="31.5">
      <c r="A20" s="19" t="str">
        <f>'3o TRIMESTRE'!A20</f>
        <v>CONCORRÊNCIA / nº 19/2019</v>
      </c>
      <c r="B20" s="19" t="str">
        <f>'3o TRIMESTRE'!B20</f>
        <v>SERVIÇO DE MANUTENÇÃO DO SISTEMA DE MICRODRENAGEM DE AGUAS PLUVIAIS EM TODAS AS RPAS DA CIDADE DO RECIFE - 04 E 05</v>
      </c>
      <c r="C20" s="19" t="s">
        <v>153</v>
      </c>
      <c r="D20" s="19">
        <f>'3o TRIMESTRE'!D20</f>
        <v>0</v>
      </c>
      <c r="E20" s="64">
        <f>'3o TRIMESTRE'!E20+15823300.23</f>
        <v>15823300.23</v>
      </c>
      <c r="F20" s="64">
        <f>'3o TRIMESTRE'!F20</f>
        <v>0</v>
      </c>
      <c r="G20" s="19" t="str">
        <f>'3o TRIMESTRE'!G20</f>
        <v>01.514.128/0001-36</v>
      </c>
      <c r="H20" s="19" t="str">
        <f>'3o TRIMESTRE'!H20</f>
        <v>SCAVE SERVICOS DE ENGENHARIA E LOCACAO LTDA</v>
      </c>
      <c r="I20" s="17" t="str">
        <f>'3o TRIMESTRE'!I20</f>
        <v>6-015/20</v>
      </c>
      <c r="J20" s="32">
        <f>'3o TRIMESTRE'!J20</f>
        <v>43997</v>
      </c>
      <c r="K20" s="17">
        <f>'3o TRIMESTRE'!K20</f>
        <v>1125</v>
      </c>
      <c r="L20" s="64">
        <f>'3o TRIMESTRE'!L20</f>
        <v>17094320.97</v>
      </c>
      <c r="M20" s="32">
        <f t="shared" si="0"/>
        <v>45122</v>
      </c>
      <c r="N20" s="17">
        <f>'3o TRIMESTRE'!N20</f>
        <v>0</v>
      </c>
      <c r="O20" s="64">
        <f>'3o TRIMESTRE'!O20</f>
        <v>3011427.7</v>
      </c>
      <c r="P20" s="64">
        <f>'3o TRIMESTRE'!P20</f>
        <v>2353695.85</v>
      </c>
      <c r="Q20" s="17" t="str">
        <f>'3o TRIMESTRE'!Q20</f>
        <v>3.3.90.39</v>
      </c>
      <c r="R20" s="64">
        <f>'3o TRIMESTRE'!R20</f>
        <v>15616246.16</v>
      </c>
      <c r="S20" s="64"/>
      <c r="T20" s="64">
        <f>'3o TRIMESTRE'!T20+S20</f>
        <v>4010788.2</v>
      </c>
      <c r="U20" s="64">
        <f>'3o TRIMESTRE'!U20+S20</f>
        <v>15135281.45</v>
      </c>
      <c r="V20" s="19" t="s">
        <v>188</v>
      </c>
      <c r="W20" s="10">
        <f t="shared" si="1"/>
        <v>-480964.7100000009</v>
      </c>
      <c r="Y20" s="33"/>
      <c r="Z20" s="33"/>
      <c r="AA20" s="38" t="str">
        <f t="shared" si="2"/>
        <v>verdadeiro</v>
      </c>
    </row>
    <row r="21" spans="1:27" ht="21">
      <c r="A21" s="19" t="str">
        <f>'3o TRIMESTRE'!A21</f>
        <v>CONCORRÊNCIA / nº 19/2019</v>
      </c>
      <c r="B21" s="19" t="str">
        <f>'3o TRIMESTRE'!B21</f>
        <v>SERVIÇO DE MANUTENÇÃO DO SISTEMA DE MICRODRENAGEM DE AGUAS PLUVIAIS EM TODAS AS RPAS DO RECIFE - RPA 06</v>
      </c>
      <c r="C21" s="19">
        <v>0</v>
      </c>
      <c r="D21" s="19">
        <f>'3o TRIMESTRE'!D21</f>
        <v>0</v>
      </c>
      <c r="E21" s="64">
        <f>'3o TRIMESTRE'!E21</f>
        <v>0</v>
      </c>
      <c r="F21" s="64">
        <f>'3o TRIMESTRE'!F21</f>
        <v>0</v>
      </c>
      <c r="G21" s="19" t="str">
        <f>'3o TRIMESTRE'!G21</f>
        <v>10.811.370/0001-62</v>
      </c>
      <c r="H21" s="19" t="str">
        <f>'3o TRIMESTRE'!H21</f>
        <v>GUERRA CONSTRUCOES LTDA</v>
      </c>
      <c r="I21" s="17" t="str">
        <f>'3o TRIMESTRE'!I21</f>
        <v>6-016/20</v>
      </c>
      <c r="J21" s="32">
        <f>'3o TRIMESTRE'!J21</f>
        <v>43997</v>
      </c>
      <c r="K21" s="17">
        <f>'3o TRIMESTRE'!K21</f>
        <v>1125</v>
      </c>
      <c r="L21" s="64">
        <f>'3o TRIMESTRE'!L21</f>
        <v>18840293.85</v>
      </c>
      <c r="M21" s="32">
        <f t="shared" si="0"/>
        <v>45122</v>
      </c>
      <c r="N21" s="17">
        <f>'3o TRIMESTRE'!N21</f>
        <v>0</v>
      </c>
      <c r="O21" s="64">
        <f>'3o TRIMESTRE'!O21</f>
        <v>4929083.800000001</v>
      </c>
      <c r="P21" s="64">
        <f>'3o TRIMESTRE'!P21</f>
        <v>5078325.03</v>
      </c>
      <c r="Q21" s="17" t="str">
        <f>'3o TRIMESTRE'!Q21</f>
        <v>3.3.90.39</v>
      </c>
      <c r="R21" s="64">
        <f>'3o TRIMESTRE'!R21</f>
        <v>18902880.71</v>
      </c>
      <c r="S21" s="64"/>
      <c r="T21" s="64">
        <f>'3o TRIMESTRE'!T21+S21</f>
        <v>7653943.699999999</v>
      </c>
      <c r="U21" s="64">
        <f>'3o TRIMESTRE'!U21+S21</f>
        <v>18889800.73</v>
      </c>
      <c r="V21" s="19" t="str">
        <f>'3o TRIMESTRE'!V21</f>
        <v>encerrado</v>
      </c>
      <c r="W21" s="10">
        <f t="shared" si="1"/>
        <v>-13079.980000000447</v>
      </c>
      <c r="Y21" s="33"/>
      <c r="Z21" s="33"/>
      <c r="AA21" s="38" t="str">
        <f t="shared" si="2"/>
        <v>verdadeiro</v>
      </c>
    </row>
    <row r="22" spans="1:27" ht="31.5">
      <c r="A22" s="19" t="str">
        <f>'3o TRIMESTRE'!A22</f>
        <v>DISP 3/2020</v>
      </c>
      <c r="B22" s="19" t="str">
        <f>'3o TRIMESTRE'!B22</f>
        <v>MONITORAMENTO AMBIENTAL DO ATERRO CONTROLADO DA MURIBECA E SERVIÇOS DE CONSULTORIA TECNOLÓGICA PARA TRATAMENTO DE RESÍDUOS SÓLIDOS URBANOS</v>
      </c>
      <c r="C22" s="19" t="s">
        <v>153</v>
      </c>
      <c r="D22" s="19">
        <f>'3o TRIMESTRE'!D22</f>
        <v>0</v>
      </c>
      <c r="E22" s="64">
        <f>'3o TRIMESTRE'!E22+15823300.23</f>
        <v>15823300.23</v>
      </c>
      <c r="F22" s="64">
        <f>'3o TRIMESTRE'!F22</f>
        <v>0</v>
      </c>
      <c r="G22" s="19" t="str">
        <f>'3o TRIMESTRE'!G22</f>
        <v>11.187.606/0001-02</v>
      </c>
      <c r="H22" s="19" t="str">
        <f>'3o TRIMESTRE'!H22</f>
        <v>ATEPE ASSOCIACAO TECNOLOGICA DE PERNAMBUCO                  </v>
      </c>
      <c r="I22" s="17" t="str">
        <f>'3o TRIMESTRE'!I22</f>
        <v>6-018/20</v>
      </c>
      <c r="J22" s="32">
        <f>'3o TRIMESTRE'!J22</f>
        <v>44007</v>
      </c>
      <c r="K22" s="17">
        <f>'3o TRIMESTRE'!K22</f>
        <v>365</v>
      </c>
      <c r="L22" s="64">
        <f>'3o TRIMESTRE'!L22</f>
        <v>251180</v>
      </c>
      <c r="M22" s="32">
        <f t="shared" si="0"/>
        <v>45102</v>
      </c>
      <c r="N22" s="17">
        <f>'3o TRIMESTRE'!N22</f>
        <v>730</v>
      </c>
      <c r="O22" s="64">
        <f>'3o TRIMESTRE'!O22</f>
        <v>518360</v>
      </c>
      <c r="P22" s="64">
        <f>'3o TRIMESTRE'!P22</f>
        <v>0</v>
      </c>
      <c r="Q22" s="17" t="str">
        <f>'3o TRIMESTRE'!Q22</f>
        <v>3.3.90.39</v>
      </c>
      <c r="R22" s="64">
        <f>'3o TRIMESTRE'!R22</f>
        <v>420311.1</v>
      </c>
      <c r="S22" s="64"/>
      <c r="T22" s="64">
        <f>'3o TRIMESTRE'!T22+S22</f>
        <v>121480.1</v>
      </c>
      <c r="U22" s="64">
        <f>'3o TRIMESTRE'!U22+S22</f>
        <v>420311.1</v>
      </c>
      <c r="V22" s="19" t="s">
        <v>188</v>
      </c>
      <c r="W22" s="10">
        <f t="shared" si="1"/>
        <v>0</v>
      </c>
      <c r="Y22" s="33"/>
      <c r="Z22" s="33"/>
      <c r="AA22" s="38" t="str">
        <f t="shared" si="2"/>
        <v>verdadeiro</v>
      </c>
    </row>
    <row r="23" spans="1:27" ht="31.5">
      <c r="A23" s="19" t="str">
        <f>'3o TRIMESTRE'!A23</f>
        <v>CONCORRÊNCIA Licitação: 1/2020</v>
      </c>
      <c r="B23" s="19" t="str">
        <f>'3o TRIMESTRE'!B23</f>
        <v>SERVIÇOS DE MANUTENÇÃO CORRETIVA DE VIAS NÃO PAVIMENTADAS DO SISTEMA VIÁRIO DA CIDADE DO RECIFE, COMPOSTOS BASICAMENTE POR SERVIÇOS DE TERRAPLENAGEM.</v>
      </c>
      <c r="C23" s="19">
        <v>0</v>
      </c>
      <c r="D23" s="19">
        <f>'3o TRIMESTRE'!D23</f>
        <v>0</v>
      </c>
      <c r="E23" s="64">
        <f>'3o TRIMESTRE'!E23</f>
        <v>0</v>
      </c>
      <c r="F23" s="64">
        <f>'3o TRIMESTRE'!F23</f>
        <v>0</v>
      </c>
      <c r="G23" s="19" t="str">
        <f>'3o TRIMESTRE'!G23</f>
        <v>40.884.405/0001-54</v>
      </c>
      <c r="H23" s="19" t="str">
        <f>'3o TRIMESTRE'!H23</f>
        <v>LOQUIPE LOCACAO DE EQUIPAMENTOS E MAO DE OBRA LTDA</v>
      </c>
      <c r="I23" s="17" t="str">
        <f>'3o TRIMESTRE'!I23</f>
        <v>6-024/20</v>
      </c>
      <c r="J23" s="32">
        <f>'3o TRIMESTRE'!J23</f>
        <v>44084</v>
      </c>
      <c r="K23" s="17">
        <f>'3o TRIMESTRE'!K23</f>
        <v>760</v>
      </c>
      <c r="L23" s="64">
        <f>'3o TRIMESTRE'!L23</f>
        <v>2567335.44</v>
      </c>
      <c r="M23" s="32">
        <f t="shared" si="0"/>
        <v>44904</v>
      </c>
      <c r="N23" s="17">
        <f>'3o TRIMESTRE'!N23</f>
        <v>60</v>
      </c>
      <c r="O23" s="64">
        <f>'3o TRIMESTRE'!O23+535420</f>
        <v>860912</v>
      </c>
      <c r="P23" s="64">
        <f>'3o TRIMESTRE'!P23</f>
        <v>0</v>
      </c>
      <c r="Q23" s="17" t="str">
        <f>'3o TRIMESTRE'!Q23</f>
        <v>3.3.90.39</v>
      </c>
      <c r="R23" s="64">
        <f>'3o TRIMESTRE'!R23+3001462.58</f>
        <v>5045650.46</v>
      </c>
      <c r="S23" s="64"/>
      <c r="T23" s="64">
        <f>'3o TRIMESTRE'!T23+S23</f>
        <v>568477.4099999999</v>
      </c>
      <c r="U23" s="64">
        <f>'3o TRIMESTRE'!U23+S23</f>
        <v>2044187.8800000001</v>
      </c>
      <c r="V23" s="19" t="str">
        <f>'3o TRIMESTRE'!V23</f>
        <v>andamento</v>
      </c>
      <c r="W23" s="10">
        <f t="shared" si="1"/>
        <v>-3001462.58</v>
      </c>
      <c r="X23" s="80"/>
      <c r="Y23" s="33"/>
      <c r="Z23" s="33"/>
      <c r="AA23" s="38" t="str">
        <f t="shared" si="2"/>
        <v>verdadeiro</v>
      </c>
    </row>
    <row r="24" spans="1:29" ht="31.5">
      <c r="A24" s="19" t="str">
        <f>'3o TRIMESTRE'!A24</f>
        <v>CONCORRÊNCIA Licitação: 3/2020</v>
      </c>
      <c r="B24" s="19" t="str">
        <f>'3o TRIMESTRE'!B24</f>
        <v>SERVIÇOS DE IMPLANTAÇÃO/REQUALIFICAÇÃO DA REDE DE DRENAGEM E PAVIMENTAÇÃO DAS RUAS DAVID NASSER E SENADOR THOMAZ LOBO</v>
      </c>
      <c r="C24" s="19" t="s">
        <v>153</v>
      </c>
      <c r="D24" s="19" t="str">
        <f>'3o TRIMESTRE'!D24</f>
        <v>FINISA</v>
      </c>
      <c r="E24" s="64">
        <f>'3o TRIMESTRE'!E24+15823300.23</f>
        <v>110332047.73</v>
      </c>
      <c r="F24" s="64">
        <f>'3o TRIMESTRE'!F24</f>
        <v>0</v>
      </c>
      <c r="G24" s="19" t="str">
        <f>'3o TRIMESTRE'!G24</f>
        <v>07.157.925/0001-90</v>
      </c>
      <c r="H24" s="19" t="str">
        <f>'3o TRIMESTRE'!H24</f>
        <v>WB CONSTRUTORA LTDA</v>
      </c>
      <c r="I24" s="17" t="str">
        <f>'3o TRIMESTRE'!I24</f>
        <v>6-027/20</v>
      </c>
      <c r="J24" s="32">
        <f>'3o TRIMESTRE'!J24</f>
        <v>44089</v>
      </c>
      <c r="K24" s="17">
        <f>'3o TRIMESTRE'!K24</f>
        <v>210</v>
      </c>
      <c r="L24" s="64">
        <f>'3o TRIMESTRE'!L24</f>
        <v>3335155.86</v>
      </c>
      <c r="M24" s="32">
        <f t="shared" si="0"/>
        <v>44584</v>
      </c>
      <c r="N24" s="17">
        <f>'3o TRIMESTRE'!N24</f>
        <v>285</v>
      </c>
      <c r="O24" s="64">
        <f>'3o TRIMESTRE'!O24</f>
        <v>767945.97</v>
      </c>
      <c r="P24" s="64">
        <f>'3o TRIMESTRE'!P24</f>
        <v>0</v>
      </c>
      <c r="Q24" s="17" t="str">
        <f>'3o TRIMESTRE'!Q24</f>
        <v>4.4.90.39</v>
      </c>
      <c r="R24" s="64">
        <f>'3o TRIMESTRE'!R24</f>
        <v>3486185.38</v>
      </c>
      <c r="S24" s="64"/>
      <c r="T24" s="64">
        <f>'3o TRIMESTRE'!T24+S24</f>
        <v>538484.02</v>
      </c>
      <c r="U24" s="64">
        <f>'3o TRIMESTRE'!U24+S24</f>
        <v>3486185.3800000004</v>
      </c>
      <c r="V24" s="19" t="s">
        <v>188</v>
      </c>
      <c r="W24" s="10">
        <f t="shared" si="1"/>
        <v>0</v>
      </c>
      <c r="Y24" s="33"/>
      <c r="Z24" s="33"/>
      <c r="AA24" s="38" t="str">
        <f t="shared" si="2"/>
        <v>verdadeiro</v>
      </c>
      <c r="AB24" s="42"/>
      <c r="AC24" s="41"/>
    </row>
    <row r="25" spans="1:29" ht="21">
      <c r="A25" s="19" t="str">
        <f>'3o TRIMESTRE'!A25</f>
        <v>CONCORRÊNCIA Licitação: 2/2020</v>
      </c>
      <c r="B25" s="19" t="str">
        <f>'3o TRIMESTRE'!B25</f>
        <v>CONTRATAÇÃO DOS SERVIÇOS DE MANUTENÇÃO CORRETIVA DO SISTEMA VIÁRIO DO RECIFE RPA 01</v>
      </c>
      <c r="C25" s="19">
        <v>0</v>
      </c>
      <c r="D25" s="19">
        <f>'3o TRIMESTRE'!D25</f>
        <v>0</v>
      </c>
      <c r="E25" s="64">
        <f>'3o TRIMESTRE'!E25</f>
        <v>0</v>
      </c>
      <c r="F25" s="64">
        <f>'3o TRIMESTRE'!F25</f>
        <v>0</v>
      </c>
      <c r="G25" s="19" t="str">
        <f>'3o TRIMESTRE'!G25</f>
        <v>23.742.620/0001-00</v>
      </c>
      <c r="H25" s="19" t="str">
        <f>'3o TRIMESTRE'!H25</f>
        <v>INSTTALE ENGENHARIA LTDA</v>
      </c>
      <c r="I25" s="17" t="str">
        <f>'3o TRIMESTRE'!I25</f>
        <v>6-029/20</v>
      </c>
      <c r="J25" s="32">
        <f>'3o TRIMESTRE'!J25</f>
        <v>44105</v>
      </c>
      <c r="K25" s="17">
        <f>'3o TRIMESTRE'!K25</f>
        <v>760</v>
      </c>
      <c r="L25" s="64">
        <f>'3o TRIMESTRE'!L25</f>
        <v>6329253.03</v>
      </c>
      <c r="M25" s="32">
        <f t="shared" si="0"/>
        <v>44927</v>
      </c>
      <c r="N25" s="17">
        <f>'3o TRIMESTRE'!N25</f>
        <v>62</v>
      </c>
      <c r="O25" s="64">
        <f>'3o TRIMESTRE'!O25+3429757.7</f>
        <v>4399070.74</v>
      </c>
      <c r="P25" s="64">
        <f>'3o TRIMESTRE'!P25</f>
        <v>707143.97</v>
      </c>
      <c r="Q25" s="17" t="str">
        <f>'3o TRIMESTRE'!Q25</f>
        <v>3.3.90.39</v>
      </c>
      <c r="R25" s="64">
        <f>'3o TRIMESTRE'!R25+2199873.12</f>
        <v>6383055.54</v>
      </c>
      <c r="S25" s="64"/>
      <c r="T25" s="64">
        <f>'3o TRIMESTRE'!T25+S25</f>
        <v>1402829.3599999999</v>
      </c>
      <c r="U25" s="64">
        <f>'3o TRIMESTRE'!U25+S25</f>
        <v>4074961.18</v>
      </c>
      <c r="V25" s="19" t="str">
        <f>'3o TRIMESTRE'!V25</f>
        <v>andamento</v>
      </c>
      <c r="W25" s="10">
        <f t="shared" si="1"/>
        <v>-2308094.36</v>
      </c>
      <c r="Y25" s="33"/>
      <c r="Z25" s="33"/>
      <c r="AA25" s="38" t="str">
        <f t="shared" si="2"/>
        <v>verdadeiro</v>
      </c>
      <c r="AC25" s="38"/>
    </row>
    <row r="26" spans="1:27" ht="21">
      <c r="A26" s="19" t="str">
        <f>'3o TRIMESTRE'!A26</f>
        <v>CONCORRÊNCIA Licitação: 2/2020</v>
      </c>
      <c r="B26" s="19" t="str">
        <f>'3o TRIMESTRE'!B26</f>
        <v>CONTRATAÇÃO DOS SERVIÇOS DE MANUTENÇÃO CORRETIVA DO SISTEMA VIÁRIO DO RECIFE RPA 02 E 03</v>
      </c>
      <c r="C26" s="19" t="s">
        <v>153</v>
      </c>
      <c r="D26" s="19">
        <f>'3o TRIMESTRE'!D26</f>
        <v>0</v>
      </c>
      <c r="E26" s="64">
        <f>'3o TRIMESTRE'!E26+15823300.23</f>
        <v>15823300.23</v>
      </c>
      <c r="F26" s="64">
        <f>'3o TRIMESTRE'!F26</f>
        <v>0</v>
      </c>
      <c r="G26" s="19" t="str">
        <f>'3o TRIMESTRE'!G26</f>
        <v>00.999.591/0001-52</v>
      </c>
      <c r="H26" s="19" t="str">
        <f>'3o TRIMESTRE'!H26</f>
        <v>AGC CONSTRUTORA E EMPREENDIMENTOS LTDA                      </v>
      </c>
      <c r="I26" s="17" t="str">
        <f>'3o TRIMESTRE'!I26</f>
        <v>6-030/20</v>
      </c>
      <c r="J26" s="32">
        <f>'3o TRIMESTRE'!J26</f>
        <v>44130</v>
      </c>
      <c r="K26" s="17">
        <f>'3o TRIMESTRE'!K26</f>
        <v>760</v>
      </c>
      <c r="L26" s="64">
        <f>'3o TRIMESTRE'!L26</f>
        <v>9905518.18</v>
      </c>
      <c r="M26" s="32">
        <f t="shared" si="0"/>
        <v>44890</v>
      </c>
      <c r="N26" s="17">
        <f>'3o TRIMESTRE'!N26</f>
        <v>0</v>
      </c>
      <c r="O26" s="64">
        <f>'3o TRIMESTRE'!O26</f>
        <v>288906.17</v>
      </c>
      <c r="P26" s="64">
        <f>'3o TRIMESTRE'!P26</f>
        <v>4628303.57</v>
      </c>
      <c r="Q26" s="17" t="str">
        <f>'3o TRIMESTRE'!Q26</f>
        <v>3.3.90.39</v>
      </c>
      <c r="R26" s="64">
        <f>'3o TRIMESTRE'!R26</f>
        <v>7989786.779999999</v>
      </c>
      <c r="S26" s="64"/>
      <c r="T26" s="64">
        <f>'3o TRIMESTRE'!T26+S26</f>
        <v>2458221.88</v>
      </c>
      <c r="U26" s="64">
        <f>'3o TRIMESTRE'!U26+S26</f>
        <v>7726550.9</v>
      </c>
      <c r="V26" s="19" t="str">
        <f>'3o TRIMESTRE'!V26</f>
        <v>andamento</v>
      </c>
      <c r="W26" s="10">
        <f t="shared" si="1"/>
        <v>-263235.87999999896</v>
      </c>
      <c r="Y26" s="33"/>
      <c r="Z26" s="33"/>
      <c r="AA26" s="38" t="str">
        <f t="shared" si="2"/>
        <v>verdadeiro</v>
      </c>
    </row>
    <row r="27" spans="1:27" ht="21">
      <c r="A27" s="19" t="str">
        <f>'3o TRIMESTRE'!A27</f>
        <v>CONCORRÊNCIA Licitação: 2/2020</v>
      </c>
      <c r="B27" s="19" t="str">
        <f>'3o TRIMESTRE'!B27</f>
        <v>CONTRATAÇÃO DOS SERVIÇOS DE MANUTENÇÃO CORRETIVA DO SISTEMA VIÁRIO DO RECIFE RPA 04 E 05</v>
      </c>
      <c r="C27" s="19">
        <v>0</v>
      </c>
      <c r="D27" s="19">
        <f>'3o TRIMESTRE'!D27</f>
        <v>0</v>
      </c>
      <c r="E27" s="64">
        <f>'3o TRIMESTRE'!E27</f>
        <v>0</v>
      </c>
      <c r="F27" s="64">
        <f>'3o TRIMESTRE'!F27</f>
        <v>0</v>
      </c>
      <c r="G27" s="19" t="str">
        <f>'3o TRIMESTRE'!G27</f>
        <v>23.742.620/0001-00</v>
      </c>
      <c r="H27" s="19" t="str">
        <f>'3o TRIMESTRE'!H27</f>
        <v>INSTTALE ENGENHARIA LTDA</v>
      </c>
      <c r="I27" s="17" t="str">
        <f>'3o TRIMESTRE'!I27</f>
        <v>6-031/20</v>
      </c>
      <c r="J27" s="32">
        <f>'3o TRIMESTRE'!J27</f>
        <v>44130</v>
      </c>
      <c r="K27" s="17">
        <f>'3o TRIMESTRE'!K27</f>
        <v>760</v>
      </c>
      <c r="L27" s="64">
        <f>'3o TRIMESTRE'!L27</f>
        <v>12232966.38</v>
      </c>
      <c r="M27" s="32">
        <f t="shared" si="0"/>
        <v>44890</v>
      </c>
      <c r="N27" s="17">
        <f>'3o TRIMESTRE'!N27</f>
        <v>0</v>
      </c>
      <c r="O27" s="64">
        <f>'3o TRIMESTRE'!O27</f>
        <v>2820084.5799999996</v>
      </c>
      <c r="P27" s="64">
        <f>'3o TRIMESTRE'!P27</f>
        <v>1362845.01</v>
      </c>
      <c r="Q27" s="17" t="str">
        <f>'3o TRIMESTRE'!Q27</f>
        <v>3.3.90.39</v>
      </c>
      <c r="R27" s="64">
        <f>'3o TRIMESTRE'!R27</f>
        <v>11036196.860000001</v>
      </c>
      <c r="S27" s="64"/>
      <c r="T27" s="64">
        <f>'3o TRIMESTRE'!T27+S27</f>
        <v>3270760.83</v>
      </c>
      <c r="U27" s="64">
        <f>'3o TRIMESTRE'!U27+S27</f>
        <v>10702424.99</v>
      </c>
      <c r="V27" s="19" t="str">
        <f>'3o TRIMESTRE'!V27</f>
        <v>andamento</v>
      </c>
      <c r="W27" s="10">
        <f t="shared" si="1"/>
        <v>-333771.87000000104</v>
      </c>
      <c r="Y27" s="33"/>
      <c r="Z27" s="33"/>
      <c r="AA27" s="38" t="str">
        <f t="shared" si="2"/>
        <v>verdadeiro</v>
      </c>
    </row>
    <row r="28" spans="1:27" ht="21">
      <c r="A28" s="19" t="str">
        <f>'3o TRIMESTRE'!A28</f>
        <v>CONCORRÊNCIA Licitação: 2/2020</v>
      </c>
      <c r="B28" s="19" t="str">
        <f>'3o TRIMESTRE'!B28</f>
        <v>CONTRATAÇÃO DOS SERVIÇOS DE MANUTENÇÃO CORRETIVA DO SISTEMA VIÁRIO DO RECIFE RPA 06</v>
      </c>
      <c r="C28" s="19">
        <v>0</v>
      </c>
      <c r="D28" s="19">
        <f>'3o TRIMESTRE'!D28</f>
        <v>0</v>
      </c>
      <c r="E28" s="64">
        <f>'3o TRIMESTRE'!E28</f>
        <v>0</v>
      </c>
      <c r="F28" s="64">
        <f>'3o TRIMESTRE'!F28</f>
        <v>0</v>
      </c>
      <c r="G28" s="19" t="str">
        <f>'3o TRIMESTRE'!G28</f>
        <v>40.882.060/0001-08</v>
      </c>
      <c r="H28" s="19" t="str">
        <f>'3o TRIMESTRE'!H28</f>
        <v>LIDERMAC CONSTRUCOES E EQUIPAMENTOS LTDA</v>
      </c>
      <c r="I28" s="17" t="str">
        <f>'3o TRIMESTRE'!I28</f>
        <v>6-032/20</v>
      </c>
      <c r="J28" s="32">
        <f>'3o TRIMESTRE'!J28</f>
        <v>44130</v>
      </c>
      <c r="K28" s="17">
        <f>'3o TRIMESTRE'!K28</f>
        <v>760</v>
      </c>
      <c r="L28" s="64">
        <f>'3o TRIMESTRE'!L28</f>
        <v>10773413.11</v>
      </c>
      <c r="M28" s="32">
        <f t="shared" si="0"/>
        <v>44890</v>
      </c>
      <c r="N28" s="17">
        <f>'3o TRIMESTRE'!N28</f>
        <v>0</v>
      </c>
      <c r="O28" s="64">
        <f>'3o TRIMESTRE'!O28</f>
        <v>0</v>
      </c>
      <c r="P28" s="64">
        <f>'3o TRIMESTRE'!P28</f>
        <v>3401715.99</v>
      </c>
      <c r="Q28" s="17" t="str">
        <f>'3o TRIMESTRE'!Q28</f>
        <v>3.3.90.39</v>
      </c>
      <c r="R28" s="64">
        <f>'3o TRIMESTRE'!R28</f>
        <v>6420862.449999999</v>
      </c>
      <c r="S28" s="64"/>
      <c r="T28" s="64">
        <f>'3o TRIMESTRE'!T28+S28</f>
        <v>1913375.49</v>
      </c>
      <c r="U28" s="64">
        <f>'3o TRIMESTRE'!U28+S28</f>
        <v>6420862.449999999</v>
      </c>
      <c r="V28" s="19" t="s">
        <v>188</v>
      </c>
      <c r="W28" s="10">
        <f t="shared" si="1"/>
        <v>0</v>
      </c>
      <c r="Y28" s="33"/>
      <c r="Z28" s="33"/>
      <c r="AA28" s="38" t="str">
        <f t="shared" si="2"/>
        <v>verdadeiro</v>
      </c>
    </row>
    <row r="29" spans="1:27" ht="53.25">
      <c r="A29" s="19" t="str">
        <f>'3o TRIMESTRE'!A29</f>
        <v>TOMADA DE PREÇOS / 005/2020</v>
      </c>
      <c r="B29" s="19" t="str">
        <f>'3o TRIMESTRE'!B29</f>
        <v>CONTRATACAO DE DE EMPRESA DE ENGENHARIA PARA EXECUCAO DE SERVICOS DE MANUTENCAO DE FONTES. COM BOMBAS CENTRIFUGAS DE 5 A 25 CV. ILUMINACAO ESPECIAL E OPERACAO AUTOMATIZADA POR QUADRO DE COMANDO INTERRUPTO HORARIO</v>
      </c>
      <c r="C29" s="19" t="s">
        <v>153</v>
      </c>
      <c r="D29" s="19">
        <f>'3o TRIMESTRE'!D29</f>
        <v>0</v>
      </c>
      <c r="E29" s="64">
        <f>'3o TRIMESTRE'!E29+15823300.23</f>
        <v>15823300.23</v>
      </c>
      <c r="F29" s="64">
        <f>'3o TRIMESTRE'!F29</f>
        <v>0</v>
      </c>
      <c r="G29" s="19" t="str">
        <f>'3o TRIMESTRE'!G29</f>
        <v>06.157.352/0001-31</v>
      </c>
      <c r="H29" s="19" t="str">
        <f>'3o TRIMESTRE'!H29</f>
        <v>ROBERTO &amp; JAIR COMÉRCIO E SERVIÇOS LTDA-ME</v>
      </c>
      <c r="I29" s="17" t="str">
        <f>'3o TRIMESTRE'!I29</f>
        <v>6-043/20</v>
      </c>
      <c r="J29" s="32">
        <f>'3o TRIMESTRE'!J29</f>
        <v>44138</v>
      </c>
      <c r="K29" s="17">
        <f>'3o TRIMESTRE'!K29</f>
        <v>760</v>
      </c>
      <c r="L29" s="64">
        <f>'3o TRIMESTRE'!L29</f>
        <v>536156.1</v>
      </c>
      <c r="M29" s="32">
        <f t="shared" si="0"/>
        <v>44898</v>
      </c>
      <c r="N29" s="17">
        <f>'3o TRIMESTRE'!N29</f>
        <v>0</v>
      </c>
      <c r="O29" s="64">
        <f>'3o TRIMESTRE'!O29+5430.8</f>
        <v>138182.13999999998</v>
      </c>
      <c r="P29" s="64">
        <f>'3o TRIMESTRE'!P29</f>
        <v>0</v>
      </c>
      <c r="Q29" s="17" t="str">
        <f>'3o TRIMESTRE'!Q29</f>
        <v>3.3.90.39</v>
      </c>
      <c r="R29" s="64">
        <f>'3o TRIMESTRE'!R29+32153.41</f>
        <v>611035.17</v>
      </c>
      <c r="S29" s="64"/>
      <c r="T29" s="64">
        <f>'3o TRIMESTRE'!T29+S29</f>
        <v>212971.41999999998</v>
      </c>
      <c r="U29" s="64">
        <f>'3o TRIMESTRE'!U29+S29</f>
        <v>578881.76</v>
      </c>
      <c r="V29" s="19" t="str">
        <f>'3o TRIMESTRE'!V29</f>
        <v>andamento</v>
      </c>
      <c r="W29" s="10">
        <f t="shared" si="1"/>
        <v>-32153.410000000033</v>
      </c>
      <c r="Y29" s="33"/>
      <c r="Z29" s="33"/>
      <c r="AA29" s="38" t="str">
        <f t="shared" si="2"/>
        <v>verdadeiro</v>
      </c>
    </row>
    <row r="30" spans="1:27" ht="53.25">
      <c r="A30" s="19" t="str">
        <f>'3o TRIMESTRE'!A30</f>
        <v>CONCORRÊNCIA / nº 006/2020</v>
      </c>
      <c r="B30" s="19" t="str">
        <f>'3o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19">
        <v>0</v>
      </c>
      <c r="D30" s="19">
        <f>'3o TRIMESTRE'!D30</f>
        <v>0</v>
      </c>
      <c r="E30" s="64">
        <f>'3o TRIMESTRE'!E30</f>
        <v>0</v>
      </c>
      <c r="F30" s="64">
        <f>'3o TRIMESTRE'!F30</f>
        <v>0</v>
      </c>
      <c r="G30" s="19" t="str">
        <f>'3o TRIMESTRE'!G30</f>
        <v>01.346.561/0001-00</v>
      </c>
      <c r="H30" s="19" t="str">
        <f>'3o TRIMESTRE'!H30</f>
        <v>VASCONCELOS E SANTOS LTDA</v>
      </c>
      <c r="I30" s="17" t="str">
        <f>'3o TRIMESTRE'!I30</f>
        <v>6-044/20</v>
      </c>
      <c r="J30" s="32">
        <f>'3o TRIMESTRE'!J30</f>
        <v>44162</v>
      </c>
      <c r="K30" s="17">
        <f>'3o TRIMESTRE'!K30</f>
        <v>790</v>
      </c>
      <c r="L30" s="64">
        <f>'3o TRIMESTRE'!L30</f>
        <v>1704583.5</v>
      </c>
      <c r="M30" s="32">
        <f t="shared" si="0"/>
        <v>45317</v>
      </c>
      <c r="N30" s="17">
        <f>'3o TRIMESTRE'!N30+365</f>
        <v>365</v>
      </c>
      <c r="O30" s="64">
        <f>'3o TRIMESTRE'!O30+251180</f>
        <v>553768</v>
      </c>
      <c r="P30" s="64">
        <f>'3o TRIMESTRE'!P30</f>
        <v>0</v>
      </c>
      <c r="Q30" s="17" t="str">
        <f>'3o TRIMESTRE'!Q30</f>
        <v>3.3.90.39</v>
      </c>
      <c r="R30" s="64">
        <f>'3o TRIMESTRE'!R30+111270</f>
        <v>1431564.8399999999</v>
      </c>
      <c r="S30" s="64"/>
      <c r="T30" s="64">
        <f>'3o TRIMESTRE'!T30+S30</f>
        <v>622742.3</v>
      </c>
      <c r="U30" s="64">
        <f>'3o TRIMESTRE'!U30+S30</f>
        <v>1320294.8399999999</v>
      </c>
      <c r="V30" s="19" t="str">
        <f>'3o TRIMESTRE'!V30</f>
        <v>andamento</v>
      </c>
      <c r="W30" s="10">
        <f t="shared" si="1"/>
        <v>-111270</v>
      </c>
      <c r="Y30" s="33"/>
      <c r="Z30" s="33"/>
      <c r="AA30" s="38" t="str">
        <f t="shared" si="2"/>
        <v>verdadeiro</v>
      </c>
    </row>
    <row r="31" spans="1:27" ht="21">
      <c r="A31" s="19" t="str">
        <f>'3o TRIMESTRE'!A31</f>
        <v>CONCORRÊNCIA Licitação: 19/2019</v>
      </c>
      <c r="B31" s="19" t="str">
        <f>'3o TRIMESTRE'!B31</f>
        <v>SERVIÇOS DE MANUTENÇÃO DO SISTEMA DE MICRODRENAGEM DAS AGUAS PLUVIAIS DO MUNICIPIO DO RECIFE RPA 1</v>
      </c>
      <c r="C31" s="19" t="s">
        <v>153</v>
      </c>
      <c r="D31" s="19">
        <f>'3o TRIMESTRE'!D31</f>
        <v>0</v>
      </c>
      <c r="E31" s="64">
        <f>'3o TRIMESTRE'!E31+15823300.23</f>
        <v>15823300.23</v>
      </c>
      <c r="F31" s="64">
        <f>'3o TRIMESTRE'!F31</f>
        <v>0</v>
      </c>
      <c r="G31" s="19" t="str">
        <f>'3o TRIMESTRE'!G31</f>
        <v>07.086.088/0001-55</v>
      </c>
      <c r="H31" s="19" t="str">
        <f>'3o TRIMESTRE'!H31</f>
        <v>SOLO CONSTRUCOES E TERRAPLANAGEM LTDA</v>
      </c>
      <c r="I31" s="17" t="str">
        <f>'3o TRIMESTRE'!I31</f>
        <v>6-048/20</v>
      </c>
      <c r="J31" s="32">
        <f>'3o TRIMESTRE'!J31</f>
        <v>44168</v>
      </c>
      <c r="K31" s="17">
        <f>'3o TRIMESTRE'!K31</f>
        <v>1125</v>
      </c>
      <c r="L31" s="64">
        <f>'3o TRIMESTRE'!L31</f>
        <v>16571981.61</v>
      </c>
      <c r="M31" s="32">
        <f t="shared" si="0"/>
        <v>45293</v>
      </c>
      <c r="N31" s="17">
        <f>'3o TRIMESTRE'!N31</f>
        <v>0</v>
      </c>
      <c r="O31" s="64">
        <f>'3o TRIMESTRE'!O31</f>
        <v>4067901.64</v>
      </c>
      <c r="P31" s="64">
        <f>'3o TRIMESTRE'!P31</f>
        <v>3759599.49</v>
      </c>
      <c r="Q31" s="17" t="str">
        <f>'3o TRIMESTRE'!Q31</f>
        <v>3.3.90.39</v>
      </c>
      <c r="R31" s="64">
        <f>'3o TRIMESTRE'!R31</f>
        <v>10705274.09</v>
      </c>
      <c r="S31" s="64"/>
      <c r="T31" s="64">
        <f>'3o TRIMESTRE'!T31+S31</f>
        <v>5163654.77</v>
      </c>
      <c r="U31" s="64">
        <f>'3o TRIMESTRE'!U31+S31</f>
        <v>10585652.89</v>
      </c>
      <c r="V31" s="19" t="str">
        <f>'3o TRIMESTRE'!V31</f>
        <v>andamento</v>
      </c>
      <c r="W31" s="10">
        <f t="shared" si="1"/>
        <v>-119621.19999999925</v>
      </c>
      <c r="Y31" s="33"/>
      <c r="Z31" s="33"/>
      <c r="AA31" s="38" t="str">
        <f t="shared" si="2"/>
        <v>verdadeiro</v>
      </c>
    </row>
    <row r="32" spans="1:27" ht="31.5">
      <c r="A32" s="19" t="str">
        <f>'3o TRIMESTRE'!A32</f>
        <v>Convite  Licitação:  001/2021</v>
      </c>
      <c r="B32" s="19" t="str">
        <f>'3o TRIMESTRE'!B32</f>
        <v>CONTRATAÇÃO DE SERVIÇOS DE RECUPERAÇÃO DE ESTRUTURA EM MADEIRA DO SEGUNDO JARDIM EM BOA VIAGEM</v>
      </c>
      <c r="C32" s="19" t="s">
        <v>189</v>
      </c>
      <c r="D32" s="19">
        <f>'3o TRIMESTRE'!D32</f>
        <v>0</v>
      </c>
      <c r="E32" s="64">
        <f>'3o TRIMESTRE'!E32</f>
        <v>0</v>
      </c>
      <c r="F32" s="64">
        <f>'3o TRIMESTRE'!F32</f>
        <v>0</v>
      </c>
      <c r="G32" s="19" t="str">
        <f>'3o TRIMESTRE'!G32</f>
        <v>06.157.352/0001-31</v>
      </c>
      <c r="H32" s="19" t="str">
        <f>'3o TRIMESTRE'!H32</f>
        <v>ROBERTO &amp; JAIR COMÉRCIO E SERVIÇOS LTDA-ME</v>
      </c>
      <c r="I32" s="17" t="str">
        <f>'3o TRIMESTRE'!I32</f>
        <v>1-002/21</v>
      </c>
      <c r="J32" s="32">
        <f>'3o TRIMESTRE'!J32</f>
        <v>44491</v>
      </c>
      <c r="K32" s="17">
        <f>'3o TRIMESTRE'!K32</f>
        <v>90</v>
      </c>
      <c r="L32" s="64">
        <f>'3o TRIMESTRE'!L32</f>
        <v>91995.11</v>
      </c>
      <c r="M32" s="32">
        <f t="shared" si="0"/>
        <v>44581</v>
      </c>
      <c r="N32" s="17">
        <f>'3o TRIMESTRE'!N32</f>
        <v>0</v>
      </c>
      <c r="O32" s="64">
        <f>'3o TRIMESTRE'!O32</f>
        <v>0</v>
      </c>
      <c r="P32" s="64">
        <f>'3o TRIMESTRE'!P32</f>
        <v>0</v>
      </c>
      <c r="Q32" s="17" t="str">
        <f>'3o TRIMESTRE'!Q32</f>
        <v>3.3.90.39</v>
      </c>
      <c r="R32" s="64">
        <f>'3o TRIMESTRE'!R32</f>
        <v>91995.11</v>
      </c>
      <c r="S32" s="64"/>
      <c r="T32" s="64">
        <f>'3o TRIMESTRE'!T32+S32</f>
        <v>0</v>
      </c>
      <c r="U32" s="64">
        <f>'3o TRIMESTRE'!U32+S32</f>
        <v>91995.11</v>
      </c>
      <c r="V32" s="19" t="str">
        <f>'3o TRIMESTRE'!V32</f>
        <v>encerrado</v>
      </c>
      <c r="W32" s="10">
        <f t="shared" si="1"/>
        <v>0</v>
      </c>
      <c r="Y32" s="33"/>
      <c r="Z32" s="33"/>
      <c r="AA32" s="38" t="str">
        <f t="shared" si="2"/>
        <v>verdadeiro</v>
      </c>
    </row>
    <row r="33" spans="1:27" ht="42.75">
      <c r="A33" s="19" t="str">
        <f>'3o TRIMESTRE'!A33</f>
        <v>CONCORRÊNCIA / nº 12/2020</v>
      </c>
      <c r="B33" s="19" t="str">
        <f>'3o TRIMESTRE'!B33</f>
        <v>CONTRATACAO DOS SERVICOS DE LIMPEZA E MANUTENCAO DO SISTEMA DE MICRODRENAGEM DE AGUAS PLUVIAIS DO MUNICIPIO DO RECIFE RPA 02 E 03</v>
      </c>
      <c r="C33" s="19" t="s">
        <v>121</v>
      </c>
      <c r="D33" s="19">
        <f>'3o TRIMESTRE'!D33</f>
        <v>0</v>
      </c>
      <c r="E33" s="64">
        <f>'3o TRIMESTRE'!E33</f>
        <v>0</v>
      </c>
      <c r="F33" s="64">
        <f>'3o TRIMESTRE'!F33</f>
        <v>0</v>
      </c>
      <c r="G33" s="19" t="str">
        <f>'3o TRIMESTRE'!G33</f>
        <v>07.693.988/0001-60</v>
      </c>
      <c r="H33" s="19" t="str">
        <f>'3o TRIMESTRE'!H33</f>
        <v>F R F ENGENHARIA LTDA</v>
      </c>
      <c r="I33" s="17" t="str">
        <f>'3o TRIMESTRE'!I33</f>
        <v>6-002/21</v>
      </c>
      <c r="J33" s="32">
        <f>'3o TRIMESTRE'!J33</f>
        <v>44204</v>
      </c>
      <c r="K33" s="17">
        <f>'3o TRIMESTRE'!K33</f>
        <v>1125</v>
      </c>
      <c r="L33" s="64">
        <f>'3o TRIMESTRE'!L33</f>
        <v>17543900.19</v>
      </c>
      <c r="M33" s="32">
        <f t="shared" si="0"/>
        <v>45329</v>
      </c>
      <c r="N33" s="17">
        <f>'3o TRIMESTRE'!N33</f>
        <v>0</v>
      </c>
      <c r="O33" s="64">
        <f>'3o TRIMESTRE'!O33</f>
        <v>3107744.16</v>
      </c>
      <c r="P33" s="64">
        <f>'3o TRIMESTRE'!P33</f>
        <v>0</v>
      </c>
      <c r="Q33" s="17" t="str">
        <f>'3o TRIMESTRE'!Q33</f>
        <v>3.3.90.39</v>
      </c>
      <c r="R33" s="64">
        <f>'3o TRIMESTRE'!R33</f>
        <v>9303883.3</v>
      </c>
      <c r="S33" s="64"/>
      <c r="T33" s="64">
        <f>'3o TRIMESTRE'!T33+S33</f>
        <v>4104538.2199999997</v>
      </c>
      <c r="U33" s="64">
        <f>'3o TRIMESTRE'!U33+S33</f>
        <v>8838311.139999999</v>
      </c>
      <c r="V33" s="19" t="s">
        <v>188</v>
      </c>
      <c r="W33" s="10">
        <f t="shared" si="1"/>
        <v>-465572.160000002</v>
      </c>
      <c r="X33" s="81" t="s">
        <v>253</v>
      </c>
      <c r="Y33" s="67"/>
      <c r="Z33" s="10"/>
      <c r="AA33" s="38" t="str">
        <f t="shared" si="2"/>
        <v>verdadeiro</v>
      </c>
    </row>
    <row r="34" spans="1:27" ht="31.5">
      <c r="A34" s="19" t="str">
        <f>'3o TRIMESTRE'!A34</f>
        <v>Pregão Eletrônico/ nº 017/2020</v>
      </c>
      <c r="B34" s="19" t="str">
        <f>'3o TRIMESTRE'!B34</f>
        <v>SERVIÇO DE MANUTENÇÃO E/OU INSTALAÇÃO DE BRINQUEDOS DE MADEIRA, INSTALADOS EM PARQUES E PRAÇAS DA CIDADE DO RECIFE</v>
      </c>
      <c r="C34" s="19">
        <v>0</v>
      </c>
      <c r="D34" s="19">
        <f>'3o TRIMESTRE'!D34</f>
        <v>0</v>
      </c>
      <c r="E34" s="64">
        <f>'3o TRIMESTRE'!E34</f>
        <v>0</v>
      </c>
      <c r="F34" s="64">
        <f>'3o TRIMESTRE'!F34</f>
        <v>0</v>
      </c>
      <c r="G34" s="19" t="str">
        <f>'3o TRIMESTRE'!G34</f>
        <v>06.157.352/0001-31</v>
      </c>
      <c r="H34" s="19" t="str">
        <f>'3o TRIMESTRE'!H34</f>
        <v>ROBERTO &amp; JAIR COMÉRCIO E SERVIÇOS LTDA-ME</v>
      </c>
      <c r="I34" s="17" t="str">
        <f>'3o TRIMESTRE'!I34</f>
        <v>6-003/21</v>
      </c>
      <c r="J34" s="32">
        <f>'3o TRIMESTRE'!J34</f>
        <v>44246</v>
      </c>
      <c r="K34" s="17">
        <f>'3o TRIMESTRE'!K34</f>
        <v>365</v>
      </c>
      <c r="L34" s="64">
        <f>'3o TRIMESTRE'!L34</f>
        <v>159999.96</v>
      </c>
      <c r="M34" s="32">
        <f t="shared" si="0"/>
        <v>44701</v>
      </c>
      <c r="N34" s="17">
        <f>'3o TRIMESTRE'!N34</f>
        <v>90</v>
      </c>
      <c r="O34" s="64">
        <f>'3o TRIMESTRE'!O34</f>
        <v>39425.78</v>
      </c>
      <c r="P34" s="64">
        <f>'3o TRIMESTRE'!P34</f>
        <v>0</v>
      </c>
      <c r="Q34" s="17" t="str">
        <f>'3o TRIMESTRE'!Q34</f>
        <v>3.3.90.39</v>
      </c>
      <c r="R34" s="64">
        <f>'3o TRIMESTRE'!R34+124611.84</f>
        <v>324037.53</v>
      </c>
      <c r="S34" s="64"/>
      <c r="T34" s="64">
        <f>'3o TRIMESTRE'!T34+S34</f>
        <v>48287.840000000004</v>
      </c>
      <c r="U34" s="64">
        <f>'3o TRIMESTRE'!U34+S34</f>
        <v>199425.69</v>
      </c>
      <c r="V34" s="19" t="str">
        <f>'3o TRIMESTRE'!V34</f>
        <v>encerrado</v>
      </c>
      <c r="W34" s="10">
        <f t="shared" si="1"/>
        <v>-124611.84000000003</v>
      </c>
      <c r="Y34" s="33"/>
      <c r="Z34" s="33"/>
      <c r="AA34" s="38" t="str">
        <f t="shared" si="2"/>
        <v>verdadeiro</v>
      </c>
    </row>
    <row r="35" spans="1:27" ht="53.25">
      <c r="A35" s="19" t="str">
        <f>'3o TRIMESTRE'!A35</f>
        <v>CONCORRÊNCIA / nº 14/2020</v>
      </c>
      <c r="B35" s="19" t="str">
        <f>'3o TRIMESTRE'!B35</f>
        <v>CONTRATACAO DE EMPRESA DE ENGENHARIA PARA REALIZACAO DE MANUTENCAO PREVENTIVA E CORRETIVA DO SISTEMA DE ILUMINACAO PUBLICA CONVENCIONAL DAS RPAS DO MUNICIPIO DO RECIFE. EM POSTES COM ATE 12 METROS DE ALTURA LOTE I. RPA 1 E 6</v>
      </c>
      <c r="C35" s="19" t="s">
        <v>121</v>
      </c>
      <c r="D35" s="19">
        <f>'3o TRIMESTRE'!D35</f>
        <v>0</v>
      </c>
      <c r="E35" s="64">
        <f>'3o TRIMESTRE'!E35</f>
        <v>0</v>
      </c>
      <c r="F35" s="64">
        <f>'3o TRIMESTRE'!F35</f>
        <v>0</v>
      </c>
      <c r="G35" s="19" t="str">
        <f>'3o TRIMESTRE'!G35</f>
        <v>03.834.750/0001-57</v>
      </c>
      <c r="H35" s="19" t="str">
        <f>'3o TRIMESTRE'!H35</f>
        <v>EIP SERVICOS DE ILUMINACAO LTDA</v>
      </c>
      <c r="I35" s="17" t="str">
        <f>'3o TRIMESTRE'!I35</f>
        <v>6-004/21</v>
      </c>
      <c r="J35" s="32">
        <f>'3o TRIMESTRE'!J35</f>
        <v>44270</v>
      </c>
      <c r="K35" s="17">
        <f>'3o TRIMESTRE'!K35</f>
        <v>790</v>
      </c>
      <c r="L35" s="64">
        <f>'3o TRIMESTRE'!L35</f>
        <v>1459741.65</v>
      </c>
      <c r="M35" s="32">
        <f t="shared" si="0"/>
        <v>45060</v>
      </c>
      <c r="N35" s="17">
        <f>'3o TRIMESTRE'!N35</f>
        <v>0</v>
      </c>
      <c r="O35" s="64">
        <f>'3o TRIMESTRE'!O35</f>
        <v>271913.86</v>
      </c>
      <c r="P35" s="64">
        <f>'3o TRIMESTRE'!P35</f>
        <v>224737.52</v>
      </c>
      <c r="Q35" s="17" t="str">
        <f>'3o TRIMESTRE'!Q35</f>
        <v>3.3.90.39</v>
      </c>
      <c r="R35" s="64">
        <f>'3o TRIMESTRE'!R35</f>
        <v>1337840.7</v>
      </c>
      <c r="S35" s="64"/>
      <c r="T35" s="64">
        <f>'3o TRIMESTRE'!T35+S35</f>
        <v>685324.22</v>
      </c>
      <c r="U35" s="64">
        <f>'3o TRIMESTRE'!U35+S35</f>
        <v>1337840.7</v>
      </c>
      <c r="V35" s="19" t="s">
        <v>188</v>
      </c>
      <c r="W35" s="10">
        <f t="shared" si="1"/>
        <v>0</v>
      </c>
      <c r="X35" s="82"/>
      <c r="Y35" s="33"/>
      <c r="Z35" s="33"/>
      <c r="AA35" s="38" t="str">
        <f t="shared" si="2"/>
        <v>verdadeiro</v>
      </c>
    </row>
    <row r="36" spans="1:27" ht="53.25">
      <c r="A36" s="19" t="str">
        <f>'3o TRIMESTRE'!A36</f>
        <v>CONCORRÊNCIA / nº 14/2020</v>
      </c>
      <c r="B36" s="19" t="str">
        <f>'3o TRIMESTRE'!B36</f>
        <v>CONTRATACAO DE EMPRESA DE ENGENHARIA PARA REALIZACAO DE MANUTENCAO PREVENTIVA E CORRETIVA DO SISTEMA DE ILUMINACAO PUBLICA CONVENCIONAL DAS RPAS DO MUNICIPIO DO RECIFE. EM POSTES COM ATE 12 METROS DE ALTURA LOTE II RPA 2 E 3</v>
      </c>
      <c r="C36" s="19" t="s">
        <v>154</v>
      </c>
      <c r="D36" s="19">
        <f>'3o TRIMESTRE'!D36</f>
        <v>0</v>
      </c>
      <c r="E36" s="64">
        <f>'3o TRIMESTRE'!E36+15823300.23</f>
        <v>15823300.23</v>
      </c>
      <c r="F36" s="64">
        <f>'3o TRIMESTRE'!F36</f>
        <v>0</v>
      </c>
      <c r="G36" s="19" t="str">
        <f>'3o TRIMESTRE'!G36</f>
        <v>03.834.750/0001-57</v>
      </c>
      <c r="H36" s="19" t="str">
        <f>'3o TRIMESTRE'!H36</f>
        <v>EIP SERVICOS DE ILUMINACAO LTDA</v>
      </c>
      <c r="I36" s="17" t="str">
        <f>'3o TRIMESTRE'!I36</f>
        <v>6-005/21</v>
      </c>
      <c r="J36" s="32">
        <f>'3o TRIMESTRE'!J36</f>
        <v>44270</v>
      </c>
      <c r="K36" s="17">
        <f>'3o TRIMESTRE'!K36</f>
        <v>790</v>
      </c>
      <c r="L36" s="64">
        <f>'3o TRIMESTRE'!L36</f>
        <v>1589764.85</v>
      </c>
      <c r="M36" s="32">
        <f t="shared" si="0"/>
        <v>45060</v>
      </c>
      <c r="N36" s="17">
        <f>'3o TRIMESTRE'!N36</f>
        <v>0</v>
      </c>
      <c r="O36" s="64">
        <f>'3o TRIMESTRE'!O36</f>
        <v>337768.38</v>
      </c>
      <c r="P36" s="64">
        <f>'3o TRIMESTRE'!P36</f>
        <v>0</v>
      </c>
      <c r="Q36" s="17" t="str">
        <f>'3o TRIMESTRE'!Q36</f>
        <v>3.3.90.39</v>
      </c>
      <c r="R36" s="64">
        <f>'3o TRIMESTRE'!R36</f>
        <v>1519364.73</v>
      </c>
      <c r="S36" s="64"/>
      <c r="T36" s="64">
        <f>'3o TRIMESTRE'!T36+S36</f>
        <v>883219.0999999999</v>
      </c>
      <c r="U36" s="64">
        <f>'3o TRIMESTRE'!U36+S36</f>
        <v>1519364.73</v>
      </c>
      <c r="V36" s="19" t="str">
        <f>'3o TRIMESTRE'!V36</f>
        <v>andamento</v>
      </c>
      <c r="W36" s="10">
        <f t="shared" si="1"/>
        <v>0</v>
      </c>
      <c r="Y36" s="33"/>
      <c r="Z36" s="33"/>
      <c r="AA36" s="38" t="str">
        <f t="shared" si="2"/>
        <v>verdadeiro</v>
      </c>
    </row>
    <row r="37" spans="1:27" ht="42.75">
      <c r="A37" s="19" t="str">
        <f>'3o TRIMESTRE'!A37</f>
        <v>CONCORRÊNCIA / nº 14/2020</v>
      </c>
      <c r="B37" s="19" t="str">
        <f>'3o TRIMESTRE'!B37</f>
        <v>CONTRATAÇÃO DE EMPRESA DE ENGENHARIA PARA REALIZAÇÃO DE MANUTENÇÃO PREVENTIVA E CORRETIVA DO SISTEMA DE ILUMINAÇÃO PUBLICA CONVENCIONAL DAS RPAS DO RECIFE LOTE III RPA  4 E 5</v>
      </c>
      <c r="C37" s="19">
        <v>0</v>
      </c>
      <c r="D37" s="19">
        <f>'3o TRIMESTRE'!D37</f>
        <v>0</v>
      </c>
      <c r="E37" s="64">
        <f>'3o TRIMESTRE'!E37</f>
        <v>0</v>
      </c>
      <c r="F37" s="64">
        <f>'3o TRIMESTRE'!F37</f>
        <v>0</v>
      </c>
      <c r="G37" s="19" t="str">
        <f>'3o TRIMESTRE'!G37</f>
        <v>03.834.750/0001-57</v>
      </c>
      <c r="H37" s="19" t="str">
        <f>'3o TRIMESTRE'!H37</f>
        <v>EIP SERVICOS DE ILUMINACAO LTDA</v>
      </c>
      <c r="I37" s="17" t="str">
        <f>'3o TRIMESTRE'!I37</f>
        <v>6-006/21</v>
      </c>
      <c r="J37" s="32">
        <f>'3o TRIMESTRE'!J37</f>
        <v>44270</v>
      </c>
      <c r="K37" s="17">
        <f>'3o TRIMESTRE'!K37</f>
        <v>790</v>
      </c>
      <c r="L37" s="64">
        <f>'3o TRIMESTRE'!L37</f>
        <v>1435226.94</v>
      </c>
      <c r="M37" s="32">
        <f t="shared" si="0"/>
        <v>45060</v>
      </c>
      <c r="N37" s="17">
        <f>'3o TRIMESTRE'!N37</f>
        <v>0</v>
      </c>
      <c r="O37" s="64">
        <f>'3o TRIMESTRE'!O37</f>
        <v>341654.57999999996</v>
      </c>
      <c r="P37" s="64">
        <f>'3o TRIMESTRE'!P37</f>
        <v>227678.31</v>
      </c>
      <c r="Q37" s="17" t="str">
        <f>'3o TRIMESTRE'!Q37</f>
        <v>3.3.90.39</v>
      </c>
      <c r="R37" s="64">
        <f>'3o TRIMESTRE'!R37+6974079.94</f>
        <v>8168515.5600000005</v>
      </c>
      <c r="S37" s="64"/>
      <c r="T37" s="64">
        <f>'3o TRIMESTRE'!T37+S37</f>
        <v>633282.64</v>
      </c>
      <c r="U37" s="64">
        <f>'3o TRIMESTRE'!U37+S37</f>
        <v>1194435.62</v>
      </c>
      <c r="V37" s="19" t="str">
        <f>'3o TRIMESTRE'!V37</f>
        <v>andamento</v>
      </c>
      <c r="W37" s="10">
        <f t="shared" si="1"/>
        <v>-6974079.94</v>
      </c>
      <c r="Y37" s="33"/>
      <c r="Z37" s="33"/>
      <c r="AA37" s="38" t="str">
        <f t="shared" si="2"/>
        <v>verdadeiro</v>
      </c>
    </row>
    <row r="38" spans="1:27" ht="42.75">
      <c r="A38" s="19" t="str">
        <f>'3o TRIMESTRE'!A38</f>
        <v>CONCORRÊNCIA / nº 17/2020</v>
      </c>
      <c r="B38" s="19" t="str">
        <f>'3o TRIMESTRE'!B38</f>
        <v>CONTRATACAO DOS SERVICOS DE MANUTENCAO E RECUPERACAO DA PAVIMENTACAO NAS VIAS EM PARALELEPIPEDOS CONSTITUINTES DO SISTEMA VIARIO DA CIDADE DO RECIFE. LOTE I - RPA 1</v>
      </c>
      <c r="C38" s="19" t="s">
        <v>153</v>
      </c>
      <c r="D38" s="19">
        <f>'3o TRIMESTRE'!D38</f>
        <v>0</v>
      </c>
      <c r="E38" s="64">
        <f>'3o TRIMESTRE'!E38+15823300.23</f>
        <v>15823300.23</v>
      </c>
      <c r="F38" s="64">
        <f>'3o TRIMESTRE'!F38</f>
        <v>0</v>
      </c>
      <c r="G38" s="19" t="str">
        <f>'3o TRIMESTRE'!G38</f>
        <v>10.811.370/0001-62</v>
      </c>
      <c r="H38" s="19" t="str">
        <f>'3o TRIMESTRE'!H38</f>
        <v>GUERRA CONSTRUCOES LTDA</v>
      </c>
      <c r="I38" s="17" t="str">
        <f>'3o TRIMESTRE'!I38</f>
        <v>6-007/21</v>
      </c>
      <c r="J38" s="32">
        <f>'3o TRIMESTRE'!J38</f>
        <v>44285</v>
      </c>
      <c r="K38" s="17">
        <f>'3o TRIMESTRE'!K38</f>
        <v>760</v>
      </c>
      <c r="L38" s="64">
        <f>'3o TRIMESTRE'!L38</f>
        <v>4242714.5</v>
      </c>
      <c r="M38" s="32">
        <f t="shared" si="0"/>
        <v>45045</v>
      </c>
      <c r="N38" s="17">
        <f>'3o TRIMESTRE'!N38</f>
        <v>0</v>
      </c>
      <c r="O38" s="64">
        <f>'3o TRIMESTRE'!O38</f>
        <v>0</v>
      </c>
      <c r="P38" s="64">
        <f>'3o TRIMESTRE'!P38</f>
        <v>640391.6</v>
      </c>
      <c r="Q38" s="17" t="str">
        <f>'3o TRIMESTRE'!Q38</f>
        <v>3.3.90.39</v>
      </c>
      <c r="R38" s="64">
        <f>'3o TRIMESTRE'!R38</f>
        <v>2644763.21</v>
      </c>
      <c r="S38" s="64"/>
      <c r="T38" s="64">
        <f>'3o TRIMESTRE'!T38+S38</f>
        <v>1709727.67</v>
      </c>
      <c r="U38" s="64">
        <f>'3o TRIMESTRE'!U38+S38</f>
        <v>2339338.63</v>
      </c>
      <c r="V38" s="19" t="str">
        <f>'3o TRIMESTRE'!V38</f>
        <v>andamento</v>
      </c>
      <c r="W38" s="10">
        <f t="shared" si="1"/>
        <v>-305424.5800000001</v>
      </c>
      <c r="Y38" s="33"/>
      <c r="Z38" s="33"/>
      <c r="AA38" s="38" t="str">
        <f t="shared" si="2"/>
        <v>verdadeiro</v>
      </c>
    </row>
    <row r="39" spans="1:27" ht="42.75">
      <c r="A39" s="19" t="str">
        <f>'3o TRIMESTRE'!A39</f>
        <v>CONCORRÊNCIA / nº 17/2020</v>
      </c>
      <c r="B39" s="19" t="str">
        <f>'3o TRIMESTRE'!B39</f>
        <v>CONTRATACAO DOS SERVICOS DE MANUTENCAO E RECUPERACAO DA PAVIMENTACAO NAS VIAS EM PARALELEPIPEDOS CONSTITUINTES DO SISTEMA VIARIO DA CIDADE DO RECIFE. LOTES II - RPA 2 E 3</v>
      </c>
      <c r="C39" s="19" t="s">
        <v>121</v>
      </c>
      <c r="D39" s="19">
        <f>'3o TRIMESTRE'!D39</f>
        <v>0</v>
      </c>
      <c r="E39" s="64">
        <f>'3o TRIMESTRE'!E39</f>
        <v>0</v>
      </c>
      <c r="F39" s="64">
        <f>'3o TRIMESTRE'!F39</f>
        <v>0</v>
      </c>
      <c r="G39" s="19" t="str">
        <f>'3o TRIMESTRE'!G39</f>
        <v>07.086.088/0001-55</v>
      </c>
      <c r="H39" s="19" t="str">
        <f>'3o TRIMESTRE'!H39</f>
        <v>SOLO CONSTRUCOES E TERRAPLANAGEM LTDA</v>
      </c>
      <c r="I39" s="17" t="str">
        <f>'3o TRIMESTRE'!I39</f>
        <v>6-008/21</v>
      </c>
      <c r="J39" s="32">
        <f>'3o TRIMESTRE'!J39</f>
        <v>44285</v>
      </c>
      <c r="K39" s="17">
        <f>'3o TRIMESTRE'!K39</f>
        <v>760</v>
      </c>
      <c r="L39" s="64">
        <f>'3o TRIMESTRE'!L39</f>
        <v>5068725.74</v>
      </c>
      <c r="M39" s="32">
        <f t="shared" si="0"/>
        <v>45045</v>
      </c>
      <c r="N39" s="17">
        <f>'3o TRIMESTRE'!N39</f>
        <v>0</v>
      </c>
      <c r="O39" s="64">
        <f>'3o TRIMESTRE'!O39</f>
        <v>0</v>
      </c>
      <c r="P39" s="64">
        <f>'3o TRIMESTRE'!P39</f>
        <v>765001.36</v>
      </c>
      <c r="Q39" s="17" t="str">
        <f>'3o TRIMESTRE'!Q39</f>
        <v>3.3.90.39</v>
      </c>
      <c r="R39" s="64">
        <f>'3o TRIMESTRE'!R39</f>
        <v>2397230.83</v>
      </c>
      <c r="S39" s="64"/>
      <c r="T39" s="64">
        <f>'3o TRIMESTRE'!T39+S39</f>
        <v>718430.8700000001</v>
      </c>
      <c r="U39" s="64">
        <f>'3o TRIMESTRE'!U39+S39</f>
        <v>1933510.6</v>
      </c>
      <c r="V39" s="19" t="s">
        <v>188</v>
      </c>
      <c r="W39" s="10">
        <f t="shared" si="1"/>
        <v>-463720.23</v>
      </c>
      <c r="Y39" s="33"/>
      <c r="Z39" s="33"/>
      <c r="AA39" s="38" t="str">
        <f t="shared" si="2"/>
        <v>verdadeiro</v>
      </c>
    </row>
    <row r="40" spans="1:27" ht="42.75">
      <c r="A40" s="19" t="str">
        <f>'3o TRIMESTRE'!A40</f>
        <v>concorrência /nº 17/2020</v>
      </c>
      <c r="B40" s="19" t="str">
        <f>'3o TRIMESTRE'!B40</f>
        <v>CONTRATACAO DOS SERVICOS DE MANUTENCAO E RECUPERACAO DA PAVIMENTACAO NAS VIAS EM PARALELEPIPEDOS CONSTITUINTES DO SISTEMA VIARIO DA CIDADE DO RECIFE. LOTES III - RPA 4 E 5</v>
      </c>
      <c r="C40" s="19" t="s">
        <v>154</v>
      </c>
      <c r="D40" s="19">
        <f>'3o TRIMESTRE'!D40</f>
        <v>0</v>
      </c>
      <c r="E40" s="64">
        <f>'3o TRIMESTRE'!E40+15823300.23</f>
        <v>15823300.23</v>
      </c>
      <c r="F40" s="64">
        <f>'3o TRIMESTRE'!F40</f>
        <v>0</v>
      </c>
      <c r="G40" s="19" t="str">
        <f>'3o TRIMESTRE'!G40</f>
        <v>05.625.079/0001-60</v>
      </c>
      <c r="H40" s="19" t="str">
        <f>'3o TRIMESTRE'!H40</f>
        <v>CONSTRUTORA MARDIFI LTDA - EPP </v>
      </c>
      <c r="I40" s="17" t="str">
        <f>'3o TRIMESTRE'!I40</f>
        <v>6-009/21</v>
      </c>
      <c r="J40" s="32">
        <f>'3o TRIMESTRE'!J40</f>
        <v>44285</v>
      </c>
      <c r="K40" s="17">
        <f>'3o TRIMESTRE'!K40</f>
        <v>760</v>
      </c>
      <c r="L40" s="64">
        <f>'3o TRIMESTRE'!L40</f>
        <v>7317745.62</v>
      </c>
      <c r="M40" s="32">
        <f t="shared" si="0"/>
        <v>45045</v>
      </c>
      <c r="N40" s="17">
        <f>'3o TRIMESTRE'!N40</f>
        <v>0</v>
      </c>
      <c r="O40" s="64">
        <f>'3o TRIMESTRE'!O40</f>
        <v>132982.7</v>
      </c>
      <c r="P40" s="64">
        <f>'3o TRIMESTRE'!P40</f>
        <v>1257436.68</v>
      </c>
      <c r="Q40" s="17" t="str">
        <f>'3o TRIMESTRE'!Q40</f>
        <v>3.3.90.39</v>
      </c>
      <c r="R40" s="64">
        <f>'3o TRIMESTRE'!R40</f>
        <v>1618317.05</v>
      </c>
      <c r="S40" s="64"/>
      <c r="T40" s="64">
        <f>'3o TRIMESTRE'!T40+S40</f>
        <v>717047.95</v>
      </c>
      <c r="U40" s="64">
        <f>'3o TRIMESTRE'!U40+S40</f>
        <v>1618317.05</v>
      </c>
      <c r="V40" s="19" t="str">
        <f>'3o TRIMESTRE'!V40</f>
        <v>andamento</v>
      </c>
      <c r="W40" s="10">
        <f t="shared" si="1"/>
        <v>0</v>
      </c>
      <c r="Y40" s="33"/>
      <c r="Z40" s="33"/>
      <c r="AA40" s="38" t="str">
        <f t="shared" si="2"/>
        <v>verdadeiro</v>
      </c>
    </row>
    <row r="41" spans="1:27" ht="42.75">
      <c r="A41" s="19" t="str">
        <f>'3o TRIMESTRE'!A41</f>
        <v>concorrência /nº 17/2020</v>
      </c>
      <c r="B41" s="19" t="str">
        <f>'3o TRIMESTRE'!B41</f>
        <v>CONTRATACAO DOS SERVICOS DE MANUTENCAO E RECUPERACAO DA PAVIMENTACAO NAS VIAS EM PARALELEPIPEDOS CONSTITUINTES DO SISTEMA VIARIO DA CIDADE DO RECIFE. LOTES IV. - RPA 06</v>
      </c>
      <c r="C41" s="19">
        <v>0</v>
      </c>
      <c r="D41" s="19">
        <f>'3o TRIMESTRE'!D41</f>
        <v>0</v>
      </c>
      <c r="E41" s="64">
        <f>'3o TRIMESTRE'!E41</f>
        <v>0</v>
      </c>
      <c r="F41" s="64">
        <f>'3o TRIMESTRE'!F41</f>
        <v>0</v>
      </c>
      <c r="G41" s="19" t="str">
        <f>'3o TRIMESTRE'!G41</f>
        <v>10.811.370/0001-62</v>
      </c>
      <c r="H41" s="19" t="str">
        <f>'3o TRIMESTRE'!H41</f>
        <v>GUERRA CONSTRUCOES LTDA</v>
      </c>
      <c r="I41" s="17" t="str">
        <f>'3o TRIMESTRE'!I41</f>
        <v>6-010/21</v>
      </c>
      <c r="J41" s="32">
        <f>'3o TRIMESTRE'!J41</f>
        <v>44285</v>
      </c>
      <c r="K41" s="17">
        <f>'3o TRIMESTRE'!K41</f>
        <v>760</v>
      </c>
      <c r="L41" s="64">
        <f>'3o TRIMESTRE'!L41</f>
        <v>6534905.35</v>
      </c>
      <c r="M41" s="32">
        <f t="shared" si="0"/>
        <v>45045</v>
      </c>
      <c r="N41" s="17">
        <f>'3o TRIMESTRE'!N41</f>
        <v>0</v>
      </c>
      <c r="O41" s="64">
        <f>'3o TRIMESTRE'!O41+1428530</f>
        <v>2349037.45</v>
      </c>
      <c r="P41" s="64">
        <f>'3o TRIMESTRE'!P41</f>
        <v>986199.95</v>
      </c>
      <c r="Q41" s="17" t="str">
        <f>'3o TRIMESTRE'!Q41</f>
        <v>3.3.90.39</v>
      </c>
      <c r="R41" s="64">
        <f>'3o TRIMESTRE'!R41+11815813.51</f>
        <v>14921040.23</v>
      </c>
      <c r="S41" s="64"/>
      <c r="T41" s="64">
        <f>'3o TRIMESTRE'!T41+S41</f>
        <v>1348160.25</v>
      </c>
      <c r="U41" s="64">
        <f>'3o TRIMESTRE'!U41+S41</f>
        <v>2950416.92</v>
      </c>
      <c r="V41" s="19" t="s">
        <v>188</v>
      </c>
      <c r="W41" s="10">
        <f t="shared" si="1"/>
        <v>-11970623.31</v>
      </c>
      <c r="Y41" s="33"/>
      <c r="Z41" s="33"/>
      <c r="AA41" s="38" t="str">
        <f t="shared" si="2"/>
        <v>verdadeiro</v>
      </c>
    </row>
    <row r="42" spans="1:27" ht="31.5">
      <c r="A42" s="19" t="str">
        <f>'3o TRIMESTRE'!A42</f>
        <v>INEX 9/2021</v>
      </c>
      <c r="B42" s="19" t="str">
        <f>'3o TRIMESTRE'!B42</f>
        <v>CONTRATACAO DOS SERVICOS DE MANUTENCAO PREVENTIVA DO SISTEMA DE MACRODRENAGEM PELO PROCESSO DE BARRAGEM MOVEL EM DIVERSOS CANAIS DA CIDADE DO RECIFE</v>
      </c>
      <c r="C42" s="19">
        <v>0</v>
      </c>
      <c r="D42" s="19">
        <f>'3o TRIMESTRE'!D42</f>
        <v>0</v>
      </c>
      <c r="E42" s="64">
        <f>'3o TRIMESTRE'!E42</f>
        <v>0</v>
      </c>
      <c r="F42" s="64">
        <f>'3o TRIMESTRE'!F42</f>
        <v>0</v>
      </c>
      <c r="G42" s="19" t="str">
        <f>'3o TRIMESTRE'!G42</f>
        <v>03.366.083/0001-25</v>
      </c>
      <c r="H42" s="19" t="str">
        <f>'3o TRIMESTRE'!H42</f>
        <v>HIDROMAX CONSTRUÇOES LTDA</v>
      </c>
      <c r="I42" s="17" t="str">
        <f>'3o TRIMESTRE'!I42</f>
        <v>6-012/21</v>
      </c>
      <c r="J42" s="32">
        <f>'3o TRIMESTRE'!J42</f>
        <v>44354</v>
      </c>
      <c r="K42" s="17">
        <f>'3o TRIMESTRE'!K42</f>
        <v>760</v>
      </c>
      <c r="L42" s="64">
        <f>'3o TRIMESTRE'!L42</f>
        <v>1940544.76</v>
      </c>
      <c r="M42" s="32">
        <f t="shared" si="0"/>
        <v>45114</v>
      </c>
      <c r="N42" s="17">
        <f>'3o TRIMESTRE'!N42</f>
        <v>0</v>
      </c>
      <c r="O42" s="64">
        <f>'3o TRIMESTRE'!O42+78982</f>
        <v>469412</v>
      </c>
      <c r="P42" s="64">
        <f>'3o TRIMESTRE'!P42</f>
        <v>0</v>
      </c>
      <c r="Q42" s="17" t="str">
        <f>'3o TRIMESTRE'!Q42</f>
        <v>3.3.90.39</v>
      </c>
      <c r="R42" s="64">
        <f>'3o TRIMESTRE'!R42+671742.96</f>
        <v>2198505.49</v>
      </c>
      <c r="S42" s="64"/>
      <c r="T42" s="64">
        <f>'3o TRIMESTRE'!T42+S42</f>
        <v>996075.8999999999</v>
      </c>
      <c r="U42" s="64">
        <f>'3o TRIMESTRE'!U42+S42</f>
        <v>1330917.41</v>
      </c>
      <c r="V42" s="19" t="str">
        <f>'3o TRIMESTRE'!V42</f>
        <v>andamento</v>
      </c>
      <c r="W42" s="10">
        <f t="shared" si="1"/>
        <v>-867588.0800000003</v>
      </c>
      <c r="X42" s="80">
        <f>62196.91+29593.57+31990.75</f>
        <v>123781.23000000001</v>
      </c>
      <c r="Y42" s="33">
        <f>W42+X42</f>
        <v>-743806.8500000003</v>
      </c>
      <c r="Z42" s="33" t="s">
        <v>266</v>
      </c>
      <c r="AA42" s="38" t="str">
        <f t="shared" si="2"/>
        <v>verdadeiro</v>
      </c>
    </row>
    <row r="43" spans="1:27" ht="42.75">
      <c r="A43" s="19" t="str">
        <f>'3o TRIMESTRE'!A43</f>
        <v>concorrência /nº 001/2021</v>
      </c>
      <c r="B43" s="19" t="str">
        <f>'3o TRIMESTRE'!B43</f>
        <v>CONTRATACAO DE EMPRESA DE ENGENHARIA ESPECIALIZADA. PARA A OPERACAO. AUTOMACAO E MANUTENCAO ELETRICA E MECANICA DAS ESTACOES DE BOMBEAMENTO E COMPORTAS DA CIDADE DO RECIFE</v>
      </c>
      <c r="C43" s="19">
        <v>0</v>
      </c>
      <c r="D43" s="19">
        <f>'3o TRIMESTRE'!D43</f>
        <v>0</v>
      </c>
      <c r="E43" s="64">
        <f>'3o TRIMESTRE'!E43</f>
        <v>0</v>
      </c>
      <c r="F43" s="64">
        <f>'3o TRIMESTRE'!F43</f>
        <v>0</v>
      </c>
      <c r="G43" s="19" t="str">
        <f>'3o TRIMESTRE'!G43</f>
        <v>41.116.138/0001-38</v>
      </c>
      <c r="H43" s="19" t="str">
        <f>'3o TRIMESTRE'!H43</f>
        <v>REAL ENERGY LTDA</v>
      </c>
      <c r="I43" s="17" t="str">
        <f>'3o TRIMESTRE'!I43</f>
        <v>6-014/21</v>
      </c>
      <c r="J43" s="32">
        <f>'3o TRIMESTRE'!J43</f>
        <v>44347</v>
      </c>
      <c r="K43" s="17">
        <f>'3o TRIMESTRE'!K43</f>
        <v>790</v>
      </c>
      <c r="L43" s="64">
        <f>'3o TRIMESTRE'!L43</f>
        <v>3652773.14</v>
      </c>
      <c r="M43" s="32">
        <f t="shared" si="0"/>
        <v>45137</v>
      </c>
      <c r="N43" s="17">
        <f>'3o TRIMESTRE'!N43</f>
        <v>0</v>
      </c>
      <c r="O43" s="64">
        <f>'3o TRIMESTRE'!O43</f>
        <v>399634.42</v>
      </c>
      <c r="P43" s="64">
        <f>'3o TRIMESTRE'!P43</f>
        <v>418590.06</v>
      </c>
      <c r="Q43" s="17" t="str">
        <f>'3o TRIMESTRE'!Q43</f>
        <v>3.3.90.39</v>
      </c>
      <c r="R43" s="64">
        <f>'3o TRIMESTRE'!R43</f>
        <v>1616883.58</v>
      </c>
      <c r="S43" s="64"/>
      <c r="T43" s="64">
        <f>'3o TRIMESTRE'!T43+S43</f>
        <v>879531.2000000001</v>
      </c>
      <c r="U43" s="64">
        <f>'3o TRIMESTRE'!U43+S43</f>
        <v>1616883.58</v>
      </c>
      <c r="V43" s="19" t="str">
        <f>'3o TRIMESTRE'!V43</f>
        <v>andamento</v>
      </c>
      <c r="W43" s="10">
        <f t="shared" si="1"/>
        <v>0</v>
      </c>
      <c r="Y43" s="33"/>
      <c r="Z43" s="33"/>
      <c r="AA43" s="38" t="str">
        <f t="shared" si="2"/>
        <v>verdadeiro</v>
      </c>
    </row>
    <row r="44" spans="1:27" ht="42.75">
      <c r="A44" s="19" t="str">
        <f>'3o TRIMESTRE'!A44</f>
        <v>concorrência /nº 015/2020</v>
      </c>
      <c r="B44" s="19" t="str">
        <f>'3o TRIMESTRE'!B44</f>
        <v>SERVIÇOS DE RECUPERAÇÃO DE VIAS URBANAS PAVIMENTAS EM CONCRETO DE CIMENTO PORTLAND EM TRECHOS DE VIAS NAS RPA'S 1 A 6</v>
      </c>
      <c r="C44" s="19" t="s">
        <v>121</v>
      </c>
      <c r="D44" s="19">
        <f>'3o TRIMESTRE'!D44</f>
        <v>0</v>
      </c>
      <c r="E44" s="64">
        <f>'3o TRIMESTRE'!E44</f>
        <v>0</v>
      </c>
      <c r="F44" s="64">
        <f>'3o TRIMESTRE'!F44</f>
        <v>0</v>
      </c>
      <c r="G44" s="19" t="str">
        <f>'3o TRIMESTRE'!G44</f>
        <v>00.338.885/0001-33</v>
      </c>
      <c r="H44" s="19" t="str">
        <f>'3o TRIMESTRE'!H44</f>
        <v>NOVATEC CONSTRUCOES E EMPREENDIMENTOS LTDA</v>
      </c>
      <c r="I44" s="17" t="str">
        <f>'3o TRIMESTRE'!I44</f>
        <v>6-015/21</v>
      </c>
      <c r="J44" s="32">
        <f>'3o TRIMESTRE'!J44</f>
        <v>44363</v>
      </c>
      <c r="K44" s="17">
        <f>'3o TRIMESTRE'!K44</f>
        <v>790</v>
      </c>
      <c r="L44" s="64">
        <f>'3o TRIMESTRE'!L44</f>
        <v>8412130.06</v>
      </c>
      <c r="M44" s="32">
        <f t="shared" si="0"/>
        <v>45153</v>
      </c>
      <c r="N44" s="17">
        <f>'3o TRIMESTRE'!N44</f>
        <v>0</v>
      </c>
      <c r="O44" s="64">
        <f>'3o TRIMESTRE'!O44</f>
        <v>1027590.58</v>
      </c>
      <c r="P44" s="64">
        <f>'3o TRIMESTRE'!P44</f>
        <v>1289394.26</v>
      </c>
      <c r="Q44" s="17" t="str">
        <f>'3o TRIMESTRE'!Q44</f>
        <v>3.3.90.39</v>
      </c>
      <c r="R44" s="64">
        <f>'3o TRIMESTRE'!R44</f>
        <v>4761093.08</v>
      </c>
      <c r="S44" s="64"/>
      <c r="T44" s="64">
        <f>'3o TRIMESTRE'!T44+S44</f>
        <v>3141310.21</v>
      </c>
      <c r="U44" s="64">
        <f>'3o TRIMESTRE'!U44+S44</f>
        <v>4600075.96</v>
      </c>
      <c r="V44" s="19" t="s">
        <v>188</v>
      </c>
      <c r="W44" s="10">
        <f t="shared" si="1"/>
        <v>-161017.1200000001</v>
      </c>
      <c r="Y44" s="33"/>
      <c r="Z44" s="33"/>
      <c r="AA44" s="38" t="str">
        <f t="shared" si="2"/>
        <v>verdadeiro</v>
      </c>
    </row>
    <row r="45" spans="1:29" ht="21">
      <c r="A45" s="19" t="str">
        <f>'3o TRIMESTRE'!A45</f>
        <v>concorrência /nº 004/2021</v>
      </c>
      <c r="B45" s="19" t="str">
        <f>'3o TRIMESTRE'!B45</f>
        <v>RECUPERAÇÃO DE PASSEIOS COM IMPLANTAÇÃO DE ACESSIBILIDADE EM VARIAS VIAS E LOCAIS DO RECIFE</v>
      </c>
      <c r="C45" s="19" t="s">
        <v>154</v>
      </c>
      <c r="D45" s="19" t="str">
        <f>'3o TRIMESTRE'!D45</f>
        <v>FINISA</v>
      </c>
      <c r="E45" s="64">
        <f>'3o TRIMESTRE'!E45+15823300.23</f>
        <v>110332047.73</v>
      </c>
      <c r="F45" s="64">
        <f>'3o TRIMESTRE'!F45</f>
        <v>0</v>
      </c>
      <c r="G45" s="19" t="str">
        <f>'3o TRIMESTRE'!G45</f>
        <v>03.608.944/0001-34</v>
      </c>
      <c r="H45" s="19" t="str">
        <f>'3o TRIMESTRE'!H45</f>
        <v>JEPAC CONSTRUCOES LTDA</v>
      </c>
      <c r="I45" s="17" t="str">
        <f>'3o TRIMESTRE'!I45</f>
        <v>6-018/21</v>
      </c>
      <c r="J45" s="32">
        <f>'3o TRIMESTRE'!J45</f>
        <v>44361</v>
      </c>
      <c r="K45" s="17">
        <f>'3o TRIMESTRE'!K45</f>
        <v>790</v>
      </c>
      <c r="L45" s="64">
        <f>'3o TRIMESTRE'!L45</f>
        <v>6770337.14</v>
      </c>
      <c r="M45" s="32">
        <f t="shared" si="0"/>
        <v>45242</v>
      </c>
      <c r="N45" s="17">
        <f>'3o TRIMESTRE'!N45+91</f>
        <v>91</v>
      </c>
      <c r="O45" s="64">
        <f>'3o TRIMESTRE'!O45+21072.02</f>
        <v>883063.3200000001</v>
      </c>
      <c r="P45" s="64">
        <f>'3o TRIMESTRE'!P45</f>
        <v>952037.17</v>
      </c>
      <c r="Q45" s="17" t="str">
        <f>'3o TRIMESTRE'!Q45</f>
        <v>3.3.90.39</v>
      </c>
      <c r="R45" s="64">
        <f>'3o TRIMESTRE'!R45+1461121.36</f>
        <v>3655826.79</v>
      </c>
      <c r="S45" s="64"/>
      <c r="T45" s="64">
        <f>'3o TRIMESTRE'!T45+S45</f>
        <v>863169.1599999999</v>
      </c>
      <c r="U45" s="64">
        <f>'3o TRIMESTRE'!U45+S45</f>
        <v>2061477.0800000003</v>
      </c>
      <c r="V45" s="19" t="s">
        <v>188</v>
      </c>
      <c r="W45" s="10">
        <f t="shared" si="1"/>
        <v>-1594349.7099999997</v>
      </c>
      <c r="Y45" s="33"/>
      <c r="Z45" s="33"/>
      <c r="AA45" s="38" t="str">
        <f t="shared" si="2"/>
        <v>verdadeiro</v>
      </c>
      <c r="AB45" s="33"/>
      <c r="AC45" s="41"/>
    </row>
    <row r="46" spans="1:27" ht="42.75">
      <c r="A46" s="19" t="str">
        <f>'3o TRIMESTRE'!A46</f>
        <v>CONCORRÊNCIA Licitação: 2/2021</v>
      </c>
      <c r="B46" s="19" t="str">
        <f>'3o TRIMESTRE'!B46</f>
        <v>RECUPERACAO DE ESCADARIAS. MUROS E CORRIMOES LOCALIZADAS NAS DIVERSAS NAS DIVERSAS REGIAO POLITICA ADMINISTRATIVA RPAS DA CIDADE DO RECIFE. DIVIDIDAS EM EM LOTES. LOTE I RPA 2; LOTE II RPA 3 E LOTE III RPA 4.5.6</v>
      </c>
      <c r="C46" s="19">
        <v>0</v>
      </c>
      <c r="D46" s="19" t="str">
        <f>'3o TRIMESTRE'!D46</f>
        <v>FINISA</v>
      </c>
      <c r="E46" s="64">
        <f>'3o TRIMESTRE'!E46</f>
        <v>113346677.56</v>
      </c>
      <c r="F46" s="64">
        <f>'3o TRIMESTRE'!F46</f>
        <v>0</v>
      </c>
      <c r="G46" s="19" t="str">
        <f>'3o TRIMESTRE'!G46</f>
        <v>11.523.068/0001-71</v>
      </c>
      <c r="H46" s="19" t="str">
        <f>'3o TRIMESTRE'!H46</f>
        <v>CONSTRUTORA FAELLA LTDA EPP</v>
      </c>
      <c r="I46" s="17" t="str">
        <f>'3o TRIMESTRE'!I46</f>
        <v>6-021/21</v>
      </c>
      <c r="J46" s="32">
        <f>'3o TRIMESTRE'!J46</f>
        <v>44365</v>
      </c>
      <c r="K46" s="17">
        <f>'3o TRIMESTRE'!K46</f>
        <v>790</v>
      </c>
      <c r="L46" s="64">
        <f>'3o TRIMESTRE'!L46</f>
        <v>6226475.18</v>
      </c>
      <c r="M46" s="32">
        <f t="shared" si="0"/>
        <v>45155</v>
      </c>
      <c r="N46" s="17">
        <f>'3o TRIMESTRE'!N46</f>
        <v>0</v>
      </c>
      <c r="O46" s="64">
        <f>'3o TRIMESTRE'!O46</f>
        <v>898362.57</v>
      </c>
      <c r="P46" s="64">
        <f>'3o TRIMESTRE'!P46</f>
        <v>0</v>
      </c>
      <c r="Q46" s="17" t="str">
        <f>'3o TRIMESTRE'!Q46</f>
        <v>3.3.90.39</v>
      </c>
      <c r="R46" s="64">
        <f>'3o TRIMESTRE'!R46+4126518.34</f>
        <v>8516995.75</v>
      </c>
      <c r="S46" s="64"/>
      <c r="T46" s="64">
        <f>'3o TRIMESTRE'!T46+S46</f>
        <v>2751230.7800000003</v>
      </c>
      <c r="U46" s="64">
        <f>'3o TRIMESTRE'!U46+S46</f>
        <v>4334244.26</v>
      </c>
      <c r="V46" s="19" t="s">
        <v>188</v>
      </c>
      <c r="W46" s="10">
        <f t="shared" si="1"/>
        <v>-4182751.49</v>
      </c>
      <c r="X46" s="80">
        <v>8524219.490000002</v>
      </c>
      <c r="Y46" s="33">
        <f>W46+X46</f>
        <v>4341468.000000002</v>
      </c>
      <c r="Z46" s="33"/>
      <c r="AA46" s="38" t="str">
        <f t="shared" si="2"/>
        <v>verdadeiro</v>
      </c>
    </row>
    <row r="47" spans="1:27" ht="42.75">
      <c r="A47" s="19" t="str">
        <f>'3o TRIMESTRE'!A47</f>
        <v>CONCORRÊNCIA Licitação: 2/2021</v>
      </c>
      <c r="B47" s="19" t="str">
        <f>'3o TRIMESTRE'!B47</f>
        <v>RECUPERACAO DE ESCADARIAS. MUROS E CORRIMOES LOCALIZADAS NAS DIVERSAS NAS DIVERSAS REGIAO POLITICA ADMINISTRATIVA RPAS DA CIDADE DO RECIFE. DIVIDIDAS EM EM LOTES. LOTE I RPA 2; LOTE II RPA 3 E LOTE III RPA 4.5.6</v>
      </c>
      <c r="C47" s="19">
        <v>0</v>
      </c>
      <c r="D47" s="19" t="str">
        <f>'3o TRIMESTRE'!D47</f>
        <v>FINISA</v>
      </c>
      <c r="E47" s="64">
        <f>'3o TRIMESTRE'!E47</f>
        <v>113346677.56</v>
      </c>
      <c r="F47" s="64">
        <f>'3o TRIMESTRE'!F47</f>
        <v>0</v>
      </c>
      <c r="G47" s="19" t="str">
        <f>'3o TRIMESTRE'!G47</f>
        <v>07.693.988/0001-60</v>
      </c>
      <c r="H47" s="19" t="str">
        <f>'3o TRIMESTRE'!H47</f>
        <v>F R F ENGENHARIA LTDA</v>
      </c>
      <c r="I47" s="17" t="str">
        <f>'3o TRIMESTRE'!I47</f>
        <v>6-022/21</v>
      </c>
      <c r="J47" s="32">
        <f>'3o TRIMESTRE'!J47</f>
        <v>44365</v>
      </c>
      <c r="K47" s="17">
        <f>'3o TRIMESTRE'!K47</f>
        <v>790</v>
      </c>
      <c r="L47" s="64">
        <f>'3o TRIMESTRE'!L47</f>
        <v>9358982.33</v>
      </c>
      <c r="M47" s="32">
        <f t="shared" si="0"/>
        <v>45155</v>
      </c>
      <c r="N47" s="17">
        <f>'3o TRIMESTRE'!N47</f>
        <v>0</v>
      </c>
      <c r="O47" s="64">
        <f>'3o TRIMESTRE'!O47</f>
        <v>2108348.95</v>
      </c>
      <c r="P47" s="64">
        <f>'3o TRIMESTRE'!P47</f>
        <v>0</v>
      </c>
      <c r="Q47" s="17" t="str">
        <f>'3o TRIMESTRE'!Q47</f>
        <v>3.3.90.39</v>
      </c>
      <c r="R47" s="64">
        <f>'3o TRIMESTRE'!R47+1545413.02</f>
        <v>8143229.76</v>
      </c>
      <c r="S47" s="64"/>
      <c r="T47" s="64">
        <f>'3o TRIMESTRE'!T47+S47</f>
        <v>3590680.35</v>
      </c>
      <c r="U47" s="64">
        <f>'3o TRIMESTRE'!U47+S47</f>
        <v>5168053.55</v>
      </c>
      <c r="V47" s="19" t="str">
        <f>'3o TRIMESTRE'!V47</f>
        <v>andamento</v>
      </c>
      <c r="W47" s="10">
        <f t="shared" si="1"/>
        <v>-2975176.21</v>
      </c>
      <c r="X47" s="78"/>
      <c r="Y47" s="10"/>
      <c r="Z47" s="33"/>
      <c r="AA47" s="38" t="str">
        <f t="shared" si="2"/>
        <v>verdadeiro</v>
      </c>
    </row>
    <row r="48" spans="1:27" ht="42.75">
      <c r="A48" s="19" t="str">
        <f>'3o TRIMESTRE'!A48</f>
        <v>CONCORRÊNCIA Licitação: 2/2021</v>
      </c>
      <c r="B48" s="19" t="str">
        <f>'3o TRIMESTRE'!B48</f>
        <v>RECUPERACAO DE ESCADARIAS. MUROS E CORRIMOES LOCALIZADAS NAS DIVERSAS NAS DIVERSAS REGIAO POLITICA ADMINISTRATIVA RPAS DA CIDADE DO RECIFE. DIVIDIDAS EM EM LOTES. LOTE I RPA 2; LOTE II RPA 3 E LOTE III RPA 4.5.6</v>
      </c>
      <c r="C48" s="19">
        <v>0</v>
      </c>
      <c r="D48" s="19" t="str">
        <f>'3o TRIMESTRE'!D48</f>
        <v>FINISA</v>
      </c>
      <c r="E48" s="64">
        <f>'3o TRIMESTRE'!E48</f>
        <v>113346677.56</v>
      </c>
      <c r="F48" s="64">
        <f>'3o TRIMESTRE'!F48</f>
        <v>0</v>
      </c>
      <c r="G48" s="19" t="str">
        <f>'3o TRIMESTRE'!G48</f>
        <v>10.811.370/0001-62</v>
      </c>
      <c r="H48" s="19" t="str">
        <f>'3o TRIMESTRE'!H48</f>
        <v>GUERRA CONSTRUCOES LTDA</v>
      </c>
      <c r="I48" s="17" t="str">
        <f>'3o TRIMESTRE'!I48</f>
        <v>6-023/21</v>
      </c>
      <c r="J48" s="32">
        <f>'3o TRIMESTRE'!J48</f>
        <v>44365</v>
      </c>
      <c r="K48" s="17">
        <f>'3o TRIMESTRE'!K48</f>
        <v>790</v>
      </c>
      <c r="L48" s="64">
        <f>'3o TRIMESTRE'!L48</f>
        <v>7403917.66</v>
      </c>
      <c r="M48" s="32">
        <f t="shared" si="0"/>
        <v>45155</v>
      </c>
      <c r="N48" s="17">
        <f>'3o TRIMESTRE'!N48</f>
        <v>0</v>
      </c>
      <c r="O48" s="64">
        <f>'3o TRIMESTRE'!O48</f>
        <v>1202174.2</v>
      </c>
      <c r="P48" s="64">
        <f>'3o TRIMESTRE'!P48</f>
        <v>0</v>
      </c>
      <c r="Q48" s="17" t="str">
        <f>'3o TRIMESTRE'!Q48</f>
        <v>3.3.90.39</v>
      </c>
      <c r="R48" s="64">
        <f>'3o TRIMESTRE'!R48</f>
        <v>6139295.9</v>
      </c>
      <c r="S48" s="64"/>
      <c r="T48" s="64">
        <f>'3o TRIMESTRE'!T48+S48</f>
        <v>1172069.32</v>
      </c>
      <c r="U48" s="64">
        <f>'3o TRIMESTRE'!U48+S48</f>
        <v>3445689.67</v>
      </c>
      <c r="V48" s="19" t="s">
        <v>188</v>
      </c>
      <c r="W48" s="10">
        <f t="shared" si="1"/>
        <v>-2693606.2300000004</v>
      </c>
      <c r="X48" s="78"/>
      <c r="Y48" s="33"/>
      <c r="Z48" s="33"/>
      <c r="AA48" s="38" t="str">
        <f t="shared" si="2"/>
        <v>verdadeiro</v>
      </c>
    </row>
    <row r="49" spans="1:27" ht="42.75">
      <c r="A49" s="19" t="str">
        <f>'3o TRIMESTRE'!A49</f>
        <v>CONCORRÊNCIA Licitação: 18/2020</v>
      </c>
      <c r="B49" s="19" t="str">
        <f>'3o TRIMESTRE'!B49</f>
        <v>CONTRATACAO DE SERVICOS DE MANUTENCAO PREVENTIVA IMPLANTACAO. REQUALIFICACAO E OU RECAPEAMENTO DE VIAS EM CONCRETO BETUMINOSO USINADO A QUENTE CBUQ DO SISTEMA VIARIO DA CIDADE DO RECIFE LOTE I RPA 1</v>
      </c>
      <c r="C49" s="19">
        <v>0</v>
      </c>
      <c r="D49" s="19" t="str">
        <f>'3o TRIMESTRE'!D49</f>
        <v>FINISA e CTTU</v>
      </c>
      <c r="E49" s="64">
        <f>'3o TRIMESTRE'!E49</f>
        <v>139865458.63</v>
      </c>
      <c r="F49" s="64">
        <f>'3o TRIMESTRE'!F49</f>
        <v>0</v>
      </c>
      <c r="G49" s="19" t="str">
        <f>'3o TRIMESTRE'!G49</f>
        <v>40.882.060/0001-08</v>
      </c>
      <c r="H49" s="19" t="str">
        <f>'3o TRIMESTRE'!H49</f>
        <v>LIDERMAC CONSTRUCOES E EQUIPAMENTOS LTDA</v>
      </c>
      <c r="I49" s="17" t="str">
        <f>'3o TRIMESTRE'!I49</f>
        <v>6-024/21</v>
      </c>
      <c r="J49" s="32">
        <f>'3o TRIMESTRE'!J49</f>
        <v>44370</v>
      </c>
      <c r="K49" s="17">
        <f>'3o TRIMESTRE'!K49</f>
        <v>760</v>
      </c>
      <c r="L49" s="64">
        <f>'3o TRIMESTRE'!L49</f>
        <v>16439785.83</v>
      </c>
      <c r="M49" s="32">
        <f t="shared" si="0"/>
        <v>45130</v>
      </c>
      <c r="N49" s="17">
        <f>'3o TRIMESTRE'!N49</f>
        <v>0</v>
      </c>
      <c r="O49" s="64">
        <f>'3o TRIMESTRE'!O49</f>
        <v>0</v>
      </c>
      <c r="P49" s="64">
        <f>'3o TRIMESTRE'!P49</f>
        <v>3939330.3999999994</v>
      </c>
      <c r="Q49" s="17" t="str">
        <f>'3o TRIMESTRE'!Q49</f>
        <v>4.4.90.39</v>
      </c>
      <c r="R49" s="64">
        <f>'3o TRIMESTRE'!R49+3753102.95</f>
        <v>9598206.879999999</v>
      </c>
      <c r="S49" s="64"/>
      <c r="T49" s="64">
        <f>'3o TRIMESTRE'!T49+S49</f>
        <v>521000.34</v>
      </c>
      <c r="U49" s="64">
        <f>'3o TRIMESTRE'!U49+S49</f>
        <v>5460448.72</v>
      </c>
      <c r="V49" s="19" t="str">
        <f>'3o TRIMESTRE'!V49</f>
        <v>andamento</v>
      </c>
      <c r="W49" s="10">
        <f t="shared" si="1"/>
        <v>-4137758.159999999</v>
      </c>
      <c r="X49" s="78"/>
      <c r="Y49" s="33"/>
      <c r="Z49" s="33"/>
      <c r="AA49" s="38" t="str">
        <f t="shared" si="2"/>
        <v>verdadeiro</v>
      </c>
    </row>
    <row r="50" spans="1:27" ht="42.75">
      <c r="A50" s="19" t="str">
        <f>'3o TRIMESTRE'!A50</f>
        <v>CONCORRÊNCIA Licitação: 18/2020</v>
      </c>
      <c r="B50" s="19" t="str">
        <f>'3o TRIMESTRE'!B50</f>
        <v>CONTRATACAO DE SERVICOS DE MANUTENCAO PREVENTIVA IMPLANTACAO. REQUALIFICACAO E OU RECAPEAMENTO DE VIAS EM CONCRETO BETUMINOSO USINADO A QUENTE CBUQ DO SISTEMA VIARIO DA CIDADE DO RECIFE LOTE II RPA 2 E 3</v>
      </c>
      <c r="C50" s="19">
        <v>0</v>
      </c>
      <c r="D50" s="19" t="str">
        <f>'3o TRIMESTRE'!D50</f>
        <v>FINISA e CTTU</v>
      </c>
      <c r="E50" s="64">
        <f>'3o TRIMESTRE'!E50</f>
        <v>139865458.63</v>
      </c>
      <c r="F50" s="64">
        <f>'3o TRIMESTRE'!F50</f>
        <v>0</v>
      </c>
      <c r="G50" s="19" t="str">
        <f>'3o TRIMESTRE'!G50</f>
        <v>00.999.591/0001-52</v>
      </c>
      <c r="H50" s="19" t="str">
        <f>'3o TRIMESTRE'!H50</f>
        <v>AGC CONSTRUTORA E EMPREENDIMENTOS LTDA      </v>
      </c>
      <c r="I50" s="17" t="str">
        <f>'3o TRIMESTRE'!I50</f>
        <v>6-025/21</v>
      </c>
      <c r="J50" s="32">
        <f>'3o TRIMESTRE'!J50</f>
        <v>44370</v>
      </c>
      <c r="K50" s="17">
        <f>'3o TRIMESTRE'!K50</f>
        <v>760</v>
      </c>
      <c r="L50" s="64">
        <f>'3o TRIMESTRE'!L50</f>
        <v>16994062.08</v>
      </c>
      <c r="M50" s="32">
        <f t="shared" si="0"/>
        <v>45130</v>
      </c>
      <c r="N50" s="17">
        <f>'3o TRIMESTRE'!N50</f>
        <v>0</v>
      </c>
      <c r="O50" s="64">
        <f>'3o TRIMESTRE'!O50</f>
        <v>4178532.73</v>
      </c>
      <c r="P50" s="64">
        <f>'3o TRIMESTRE'!P50</f>
        <v>2523683.51</v>
      </c>
      <c r="Q50" s="17" t="str">
        <f>'3o TRIMESTRE'!Q50</f>
        <v>4.4.90.39</v>
      </c>
      <c r="R50" s="64">
        <f>'3o TRIMESTRE'!R50+412119.17</f>
        <v>19200308.700000003</v>
      </c>
      <c r="S50" s="64"/>
      <c r="T50" s="64">
        <f>'3o TRIMESTRE'!T50+S50</f>
        <v>7588990.09</v>
      </c>
      <c r="U50" s="64">
        <f>'3o TRIMESTRE'!U50+S50</f>
        <v>15446471.530000001</v>
      </c>
      <c r="V50" s="19" t="str">
        <f>'3o TRIMESTRE'!V50</f>
        <v>andamento</v>
      </c>
      <c r="W50" s="10">
        <f t="shared" si="1"/>
        <v>-3753837.170000002</v>
      </c>
      <c r="X50" s="78"/>
      <c r="Y50" s="33"/>
      <c r="Z50" s="33"/>
      <c r="AA50" s="38" t="str">
        <f t="shared" si="2"/>
        <v>verdadeiro</v>
      </c>
    </row>
    <row r="51" spans="1:27" ht="42.75">
      <c r="A51" s="19" t="str">
        <f>'3o TRIMESTRE'!A51</f>
        <v>CONCORRÊNCIA Licitação: 18/2020</v>
      </c>
      <c r="B51" s="19" t="str">
        <f>'3o TRIMESTRE'!B51</f>
        <v>CONTRATACAO DE SERVICOS DE MANUTENCAO PREVENTIVA IMPLANTACAO. REQUALIFICACAO E OU RECAPEAMENTO DE VIAS EM CONCRETO BETUMINOSO USINADO A QUENTE CBUQ DO SISTEMA VIARIO DA CIDADE DO RECIFE LOTES III RPA 4 E 5</v>
      </c>
      <c r="C51" s="19">
        <v>0</v>
      </c>
      <c r="D51" s="19" t="str">
        <f>'3o TRIMESTRE'!D51</f>
        <v>FINISA e CTTU</v>
      </c>
      <c r="E51" s="64">
        <f>'3o TRIMESTRE'!E51</f>
        <v>139865458.63</v>
      </c>
      <c r="F51" s="64">
        <f>'3o TRIMESTRE'!F51</f>
        <v>0</v>
      </c>
      <c r="G51" s="19" t="str">
        <f>'3o TRIMESTRE'!G51</f>
        <v>23.742.620/0001-00</v>
      </c>
      <c r="H51" s="19" t="str">
        <f>'3o TRIMESTRE'!H51</f>
        <v>INSTTALE ENGENHARIA LTDA</v>
      </c>
      <c r="I51" s="17" t="str">
        <f>'3o TRIMESTRE'!I51</f>
        <v>6-026/21</v>
      </c>
      <c r="J51" s="32">
        <f>'3o TRIMESTRE'!J51</f>
        <v>44370</v>
      </c>
      <c r="K51" s="17">
        <f>'3o TRIMESTRE'!K51</f>
        <v>760</v>
      </c>
      <c r="L51" s="64">
        <f>'3o TRIMESTRE'!L51</f>
        <v>21157084.25</v>
      </c>
      <c r="M51" s="32">
        <f t="shared" si="0"/>
        <v>45130</v>
      </c>
      <c r="N51" s="17">
        <f>'3o TRIMESTRE'!N51</f>
        <v>0</v>
      </c>
      <c r="O51" s="64">
        <f>'3o TRIMESTRE'!O51</f>
        <v>4678660.85</v>
      </c>
      <c r="P51" s="64">
        <f>'3o TRIMESTRE'!P51</f>
        <v>0</v>
      </c>
      <c r="Q51" s="17" t="str">
        <f>'3o TRIMESTRE'!Q51</f>
        <v>4.4.90.39</v>
      </c>
      <c r="R51" s="64">
        <f>'3o TRIMESTRE'!R51+770331.38</f>
        <v>18621995.169999998</v>
      </c>
      <c r="S51" s="64"/>
      <c r="T51" s="64">
        <f>'3o TRIMESTRE'!T51+S51</f>
        <v>7885868.430000001</v>
      </c>
      <c r="U51" s="64">
        <f>'3o TRIMESTRE'!U51+S51</f>
        <v>17729510.229999997</v>
      </c>
      <c r="V51" s="19" t="str">
        <f>'3o TRIMESTRE'!V51</f>
        <v>andamento</v>
      </c>
      <c r="W51" s="10">
        <f t="shared" si="1"/>
        <v>-892484.9400000013</v>
      </c>
      <c r="X51" s="78"/>
      <c r="Y51" s="33"/>
      <c r="Z51" s="33"/>
      <c r="AA51" s="38" t="str">
        <f t="shared" si="2"/>
        <v>verdadeiro</v>
      </c>
    </row>
    <row r="52" spans="1:28" ht="42.75">
      <c r="A52" s="19" t="str">
        <f>'3o TRIMESTRE'!A52</f>
        <v>CONCORRÊNCIA Licitação: 18/2020</v>
      </c>
      <c r="B52" s="19" t="str">
        <f>'3o TRIMESTRE'!B52</f>
        <v>CONTRATACAO DE SERVICOS DE MANUTENCAO PREVENTIVA IMPLANTACAO. REQUALIFICACAO E OU RECAPEAMENTO DE VIAS EM CONCRETO BETUMINOSO USINADO A QUENTE CBUQ DO SISTEMA VIARIO DA CIDADE DO RECIFE LOTE IV RPA 6</v>
      </c>
      <c r="C52" s="19">
        <v>0</v>
      </c>
      <c r="D52" s="19" t="str">
        <f>'3o TRIMESTRE'!D52</f>
        <v>FINISA e CTTU</v>
      </c>
      <c r="E52" s="64">
        <f>'3o TRIMESTRE'!E52</f>
        <v>139865458.63</v>
      </c>
      <c r="F52" s="64">
        <f>'3o TRIMESTRE'!F52</f>
        <v>0</v>
      </c>
      <c r="G52" s="19" t="str">
        <f>'3o TRIMESTRE'!G52</f>
        <v>40.882.060/0001-08</v>
      </c>
      <c r="H52" s="19" t="str">
        <f>'3o TRIMESTRE'!H52</f>
        <v>LIDERMAC CONSTRUCOES E EQUIPAMENTOS LTDA</v>
      </c>
      <c r="I52" s="17" t="str">
        <f>'3o TRIMESTRE'!I52</f>
        <v>6-027/21</v>
      </c>
      <c r="J52" s="32">
        <f>'3o TRIMESTRE'!J52</f>
        <v>44370</v>
      </c>
      <c r="K52" s="17">
        <f>'3o TRIMESTRE'!K52</f>
        <v>760</v>
      </c>
      <c r="L52" s="64">
        <f>'3o TRIMESTRE'!L52</f>
        <v>17242398.46</v>
      </c>
      <c r="M52" s="32">
        <f t="shared" si="0"/>
        <v>45130</v>
      </c>
      <c r="N52" s="17">
        <f>'3o TRIMESTRE'!N52</f>
        <v>0</v>
      </c>
      <c r="O52" s="64">
        <f>'3o TRIMESTRE'!O52</f>
        <v>4430000</v>
      </c>
      <c r="P52" s="64">
        <f>'3o TRIMESTRE'!P52</f>
        <v>4878113.98</v>
      </c>
      <c r="Q52" s="17" t="str">
        <f>'3o TRIMESTRE'!Q52</f>
        <v>4.4.90.39</v>
      </c>
      <c r="R52" s="64">
        <f>'3o TRIMESTRE'!R52</f>
        <v>15102169.23</v>
      </c>
      <c r="S52" s="64"/>
      <c r="T52" s="64">
        <f>'3o TRIMESTRE'!T52+S52</f>
        <v>10124041.82</v>
      </c>
      <c r="U52" s="64">
        <f>'3o TRIMESTRE'!U52+S52</f>
        <v>15094618.93</v>
      </c>
      <c r="V52" s="19" t="s">
        <v>188</v>
      </c>
      <c r="W52" s="10">
        <f t="shared" si="1"/>
        <v>-7550.300000000745</v>
      </c>
      <c r="X52" s="78"/>
      <c r="Y52" s="33"/>
      <c r="Z52" s="33"/>
      <c r="AA52" s="38" t="str">
        <f t="shared" si="2"/>
        <v>verdadeiro</v>
      </c>
      <c r="AB52" s="42"/>
    </row>
    <row r="53" spans="1:27" ht="42.75">
      <c r="A53" s="19" t="str">
        <f>'3o TRIMESTRE'!A53</f>
        <v>CONCORRÊNCIA Licitação: 16/2020</v>
      </c>
      <c r="B53" s="19" t="str">
        <f>'3o TRIMESTRE'!B53</f>
        <v>EXECUÇÃO DE SERVIÇOS DE REQUALIFICAÇÃO MANUTENÇÃO PREVENTIVA E CORRETIVA DE PRAÇAS, PARQUES E ÁREAS VERDES CANTEIROS DE AVENIDAS E REFÚGIOS DA CIDADE DO RECIFE RPAS 1,2 E 3</v>
      </c>
      <c r="C53" s="19" t="s">
        <v>154</v>
      </c>
      <c r="D53" s="19">
        <f>'3o TRIMESTRE'!D53</f>
        <v>0</v>
      </c>
      <c r="E53" s="64">
        <f>'3o TRIMESTRE'!E53+15823300.23</f>
        <v>15823300.23</v>
      </c>
      <c r="F53" s="64">
        <f>'3o TRIMESTRE'!F53</f>
        <v>0</v>
      </c>
      <c r="G53" s="19" t="str">
        <f>'3o TRIMESTRE'!G53</f>
        <v>05.625.079/0001-60</v>
      </c>
      <c r="H53" s="19" t="str">
        <f>'3o TRIMESTRE'!H53</f>
        <v>CONSTRUTORA MARDIFI LTDA - EPP </v>
      </c>
      <c r="I53" s="17" t="str">
        <f>'3o TRIMESTRE'!I53</f>
        <v>6-028/21</v>
      </c>
      <c r="J53" s="32">
        <f>'3o TRIMESTRE'!J53</f>
        <v>44391</v>
      </c>
      <c r="K53" s="17">
        <f>'3o TRIMESTRE'!K53</f>
        <v>790</v>
      </c>
      <c r="L53" s="64">
        <f>'3o TRIMESTRE'!L53</f>
        <v>5538433.27</v>
      </c>
      <c r="M53" s="32">
        <f t="shared" si="0"/>
        <v>45181</v>
      </c>
      <c r="N53" s="17">
        <f>'3o TRIMESTRE'!N53</f>
        <v>0</v>
      </c>
      <c r="O53" s="64">
        <f>'3o TRIMESTRE'!O53</f>
        <v>1123031.08</v>
      </c>
      <c r="P53" s="64">
        <f>'3o TRIMESTRE'!P53</f>
        <v>0</v>
      </c>
      <c r="Q53" s="17" t="str">
        <f>'3o TRIMESTRE'!Q53</f>
        <v>3.3.90.39</v>
      </c>
      <c r="R53" s="64">
        <f>'3o TRIMESTRE'!R53</f>
        <v>2023267.4499999997</v>
      </c>
      <c r="S53" s="64"/>
      <c r="T53" s="64">
        <f>'3o TRIMESTRE'!T53+S53</f>
        <v>1555310.1500000001</v>
      </c>
      <c r="U53" s="64">
        <f>'3o TRIMESTRE'!U53+S53</f>
        <v>2023267.4500000002</v>
      </c>
      <c r="V53" s="19" t="str">
        <f>'3o TRIMESTRE'!V53</f>
        <v>andamento</v>
      </c>
      <c r="W53" s="10">
        <f t="shared" si="1"/>
        <v>0</v>
      </c>
      <c r="X53" s="78"/>
      <c r="Y53" s="33"/>
      <c r="Z53" s="33"/>
      <c r="AA53" s="38" t="str">
        <f t="shared" si="2"/>
        <v>verdadeiro</v>
      </c>
    </row>
    <row r="54" spans="1:27" ht="42.75">
      <c r="A54" s="19" t="str">
        <f>'3o TRIMESTRE'!A54</f>
        <v>CONCORRÊNCIA Licitação: 16/2020</v>
      </c>
      <c r="B54" s="19" t="str">
        <f>'3o TRIMESTRE'!B54</f>
        <v>EXECUÇÃO DE SERVIÇOS DE REQUALIFICAÇÃO MANUTENÇÃO PREVENTIVA E CORRETIVA DE PRAÇAS, PARQUES E ÁREAS VERDES CANTEIROS DE AVENIDAS E REFÚGIOS DA CIDADE DO RECIFE RPAS 4,5 E 6</v>
      </c>
      <c r="C54" s="19">
        <v>0</v>
      </c>
      <c r="D54" s="19">
        <f>'3o TRIMESTRE'!D54</f>
        <v>0</v>
      </c>
      <c r="E54" s="64">
        <f>'3o TRIMESTRE'!E54</f>
        <v>0</v>
      </c>
      <c r="F54" s="64">
        <f>'3o TRIMESTRE'!F54</f>
        <v>0</v>
      </c>
      <c r="G54" s="19" t="str">
        <f>'3o TRIMESTRE'!G54</f>
        <v>10.698.641/0001-15</v>
      </c>
      <c r="H54" s="19" t="str">
        <f>'3o TRIMESTRE'!H54</f>
        <v>CONSTRUTORA MASTER EIRELI ME</v>
      </c>
      <c r="I54" s="17" t="str">
        <f>'3o TRIMESTRE'!I54</f>
        <v>6-029/21</v>
      </c>
      <c r="J54" s="32">
        <f>'3o TRIMESTRE'!J54</f>
        <v>44391</v>
      </c>
      <c r="K54" s="17">
        <f>'3o TRIMESTRE'!K54</f>
        <v>790</v>
      </c>
      <c r="L54" s="64">
        <f>'3o TRIMESTRE'!L54</f>
        <v>6400029.52</v>
      </c>
      <c r="M54" s="32">
        <f t="shared" si="0"/>
        <v>45181</v>
      </c>
      <c r="N54" s="17">
        <f>'3o TRIMESTRE'!N54</f>
        <v>0</v>
      </c>
      <c r="O54" s="64">
        <f>'3o TRIMESTRE'!O54</f>
        <v>1599212.75</v>
      </c>
      <c r="P54" s="64">
        <f>'3o TRIMESTRE'!P54</f>
        <v>0</v>
      </c>
      <c r="Q54" s="17" t="str">
        <f>'3o TRIMESTRE'!Q54</f>
        <v>3.3.90.39</v>
      </c>
      <c r="R54" s="64">
        <f>'3o TRIMESTRE'!R54</f>
        <v>3295225.5</v>
      </c>
      <c r="S54" s="64"/>
      <c r="T54" s="64">
        <f>'3o TRIMESTRE'!T54+S54</f>
        <v>1747231.82</v>
      </c>
      <c r="U54" s="64">
        <f>'3o TRIMESTRE'!U54+S54</f>
        <v>3295225.5</v>
      </c>
      <c r="V54" s="19" t="s">
        <v>188</v>
      </c>
      <c r="W54" s="10">
        <f t="shared" si="1"/>
        <v>0</v>
      </c>
      <c r="X54" s="78"/>
      <c r="Y54" s="33"/>
      <c r="Z54" s="33"/>
      <c r="AA54" s="38" t="str">
        <f t="shared" si="2"/>
        <v>verdadeiro</v>
      </c>
    </row>
    <row r="55" spans="1:27" ht="42.75">
      <c r="A55" s="19" t="str">
        <f>'3o TRIMESTRE'!A55</f>
        <v>Tomada de Preço Licitação: 003/2021</v>
      </c>
      <c r="B55" s="19" t="str">
        <f>'3o TRIMESTRE'!B55</f>
        <v>CONTRATAÇÃO DE EMPRESA DE DE ENGENHARIA ESPECIALIZADA EM ILUMINAÇÃO PUBLICA. PARA INSTALAÇÃO DE LUMINÁRIAS/PROJETORES COM TECNOLOGIA LED NA CIDADE DO RECIFE/PE COM FORNECIMENTO DE ACESSÓRIOS</v>
      </c>
      <c r="C55" s="19" t="s">
        <v>154</v>
      </c>
      <c r="D55" s="19" t="str">
        <f>'3o TRIMESTRE'!D55</f>
        <v>FINISA</v>
      </c>
      <c r="E55" s="64">
        <f>'3o TRIMESTRE'!E55+15823300.23</f>
        <v>65823300.230000004</v>
      </c>
      <c r="F55" s="64">
        <f>'3o TRIMESTRE'!F55</f>
        <v>0</v>
      </c>
      <c r="G55" s="19" t="str">
        <f>'3o TRIMESTRE'!G55</f>
        <v>01.346.561/0001-00</v>
      </c>
      <c r="H55" s="19" t="str">
        <f>'3o TRIMESTRE'!H55</f>
        <v>VASCONCELOS E SANTOS LTDA</v>
      </c>
      <c r="I55" s="17" t="str">
        <f>'3o TRIMESTRE'!I55</f>
        <v>6-037/21</v>
      </c>
      <c r="J55" s="32">
        <f>'3o TRIMESTRE'!J55</f>
        <v>44495</v>
      </c>
      <c r="K55" s="17">
        <f>'3o TRIMESTRE'!K55</f>
        <v>395</v>
      </c>
      <c r="L55" s="64">
        <f>'3o TRIMESTRE'!L55</f>
        <v>1048809.4</v>
      </c>
      <c r="M55" s="32">
        <f t="shared" si="0"/>
        <v>44890</v>
      </c>
      <c r="N55" s="17">
        <f>'3o TRIMESTRE'!N55</f>
        <v>0</v>
      </c>
      <c r="O55" s="64">
        <f>'3o TRIMESTRE'!O55</f>
        <v>251613.71</v>
      </c>
      <c r="P55" s="64">
        <f>'3o TRIMESTRE'!P55</f>
        <v>0</v>
      </c>
      <c r="Q55" s="17" t="str">
        <f>'3o TRIMESTRE'!Q55</f>
        <v>4.4.90.39</v>
      </c>
      <c r="R55" s="64">
        <f>'3o TRIMESTRE'!R55</f>
        <v>857505.39</v>
      </c>
      <c r="S55" s="64"/>
      <c r="T55" s="64">
        <f>'3o TRIMESTRE'!T55+S55</f>
        <v>530369.27</v>
      </c>
      <c r="U55" s="64">
        <f>'3o TRIMESTRE'!U55+S55</f>
        <v>857505.3900000001</v>
      </c>
      <c r="V55" s="19" t="str">
        <f>'3o TRIMESTRE'!V55</f>
        <v>andamento</v>
      </c>
      <c r="W55" s="10">
        <f t="shared" si="1"/>
        <v>0</v>
      </c>
      <c r="X55" s="78"/>
      <c r="Y55" s="33"/>
      <c r="Z55" s="33"/>
      <c r="AA55" s="38" t="str">
        <f t="shared" si="2"/>
        <v>verdadeiro</v>
      </c>
    </row>
    <row r="56" spans="1:27" ht="31.5">
      <c r="A56" s="19" t="str">
        <f>'3o TRIMESTRE'!A56</f>
        <v>Tomada de Preço Licitação: 004/2021</v>
      </c>
      <c r="B56" s="19" t="str">
        <f>'3o TRIMESTRE'!B56</f>
        <v>CONTRATACAO DE EMPRESA DE ENGENHARIA PARA PRESTACAO DOS SERVICOS DE MANUTENCAO DO ENROCAMENTO DE PEDRAS DA PROTECAO EXISTENTE NA ORLA DE BOA VIAGEM</v>
      </c>
      <c r="C56" s="19" t="s">
        <v>154</v>
      </c>
      <c r="D56" s="19">
        <f>'3o TRIMESTRE'!D56</f>
        <v>0</v>
      </c>
      <c r="E56" s="64">
        <f>'3o TRIMESTRE'!E56+15823300.23</f>
        <v>15823300.23</v>
      </c>
      <c r="F56" s="64">
        <f>'3o TRIMESTRE'!F56</f>
        <v>0</v>
      </c>
      <c r="G56" s="19" t="str">
        <f>'3o TRIMESTRE'!G56</f>
        <v>70.086.111/0001-48</v>
      </c>
      <c r="H56" s="19" t="str">
        <f>'3o TRIMESTRE'!H56</f>
        <v>COASTAL - CONSTRUÇÕES E SOLUÇÕES TÉCNICAS AMBIENTAIS EIRELI</v>
      </c>
      <c r="I56" s="17" t="str">
        <f>'3o TRIMESTRE'!I56</f>
        <v>6-039/21</v>
      </c>
      <c r="J56" s="32">
        <f>'3o TRIMESTRE'!J56</f>
        <v>44455</v>
      </c>
      <c r="K56" s="17">
        <f>'3o TRIMESTRE'!K56</f>
        <v>455</v>
      </c>
      <c r="L56" s="64">
        <f>'3o TRIMESTRE'!L56</f>
        <v>1460562.75</v>
      </c>
      <c r="M56" s="32">
        <f t="shared" si="0"/>
        <v>44985</v>
      </c>
      <c r="N56" s="17">
        <f>'3o TRIMESTRE'!N56+75</f>
        <v>75</v>
      </c>
      <c r="O56" s="64">
        <f>'3o TRIMESTRE'!O56+45293.3</f>
        <v>384689.92</v>
      </c>
      <c r="P56" s="64">
        <f>'3o TRIMESTRE'!P56</f>
        <v>0</v>
      </c>
      <c r="Q56" s="17" t="str">
        <f>'3o TRIMESTRE'!Q56</f>
        <v>3.3.90.39</v>
      </c>
      <c r="R56" s="64">
        <f>'3o TRIMESTRE'!R56+538484.02</f>
        <v>1994198.9900000002</v>
      </c>
      <c r="S56" s="64"/>
      <c r="T56" s="64">
        <f>'3o TRIMESTRE'!T56+S56</f>
        <v>1105078.19</v>
      </c>
      <c r="U56" s="64">
        <f>'3o TRIMESTRE'!U56+S56</f>
        <v>1455714.9700000002</v>
      </c>
      <c r="V56" s="19" t="str">
        <f>'3o TRIMESTRE'!V56</f>
        <v>andamento</v>
      </c>
      <c r="W56" s="10">
        <f t="shared" si="1"/>
        <v>-538484.02</v>
      </c>
      <c r="X56" s="78">
        <v>538484.02</v>
      </c>
      <c r="Y56" s="33">
        <f>W56+X56</f>
        <v>0</v>
      </c>
      <c r="Z56" s="33" t="s">
        <v>108</v>
      </c>
      <c r="AA56" s="38" t="str">
        <f t="shared" si="2"/>
        <v>verdadeiro</v>
      </c>
    </row>
    <row r="57" spans="1:27" ht="31.5">
      <c r="A57" s="19" t="str">
        <f>'3o TRIMESTRE'!A57</f>
        <v>Concorrência Licitação: 009/2021</v>
      </c>
      <c r="B57" s="19" t="str">
        <f>'3o TRIMESTRE'!B57</f>
        <v>EXECUÇÃO DE SERVIÇOS DE RECUPERAÇÃO DE PASSARELAS, PONTILHÕES E ELEMENTOS LIMITADORES DE ESPAÇO OU PROTEÇÃO NAS DIVERSAS RPAS DA CIDADE DO RECIFE</v>
      </c>
      <c r="C57" s="19" t="s">
        <v>153</v>
      </c>
      <c r="D57" s="19">
        <f>'3o TRIMESTRE'!D57</f>
        <v>0</v>
      </c>
      <c r="E57" s="64">
        <f>'3o TRIMESTRE'!E57</f>
        <v>0</v>
      </c>
      <c r="F57" s="64">
        <f>'3o TRIMESTRE'!F57</f>
        <v>0</v>
      </c>
      <c r="G57" s="19" t="str">
        <f>'3o TRIMESTRE'!G57</f>
        <v>10.811.370/0001-62</v>
      </c>
      <c r="H57" s="19" t="str">
        <f>'3o TRIMESTRE'!H57</f>
        <v>GUERRA CONSTRUCOES LTDA</v>
      </c>
      <c r="I57" s="17" t="str">
        <f>'3o TRIMESTRE'!I57</f>
        <v>6-042/21</v>
      </c>
      <c r="J57" s="32">
        <f>'3o TRIMESTRE'!J57</f>
        <v>44516</v>
      </c>
      <c r="K57" s="17">
        <f>'3o TRIMESTRE'!K57</f>
        <v>790</v>
      </c>
      <c r="L57" s="64">
        <f>'3o TRIMESTRE'!L57</f>
        <v>4874717.78</v>
      </c>
      <c r="M57" s="32">
        <f t="shared" si="0"/>
        <v>45306</v>
      </c>
      <c r="N57" s="17">
        <f>'3o TRIMESTRE'!N57</f>
        <v>0</v>
      </c>
      <c r="O57" s="64">
        <f>'3o TRIMESTRE'!O57</f>
        <v>1218573.59</v>
      </c>
      <c r="P57" s="64">
        <f>'3o TRIMESTRE'!P57</f>
        <v>0</v>
      </c>
      <c r="Q57" s="17" t="str">
        <f>'3o TRIMESTRE'!Q57</f>
        <v>3.3.90.39</v>
      </c>
      <c r="R57" s="64">
        <f>'3o TRIMESTRE'!R57</f>
        <v>4279959.52</v>
      </c>
      <c r="S57" s="64"/>
      <c r="T57" s="64">
        <f>'3o TRIMESTRE'!T57+S57</f>
        <v>2902603.32</v>
      </c>
      <c r="U57" s="64">
        <f>'3o TRIMESTRE'!U57+S57</f>
        <v>4051238.3099999996</v>
      </c>
      <c r="V57" s="19" t="str">
        <f>'3o TRIMESTRE'!V57</f>
        <v>andamento</v>
      </c>
      <c r="W57" s="10">
        <f t="shared" si="1"/>
        <v>-228721.20999999996</v>
      </c>
      <c r="X57" s="78"/>
      <c r="Y57" s="33"/>
      <c r="Z57" s="33"/>
      <c r="AA57" s="38" t="str">
        <f t="shared" si="2"/>
        <v>verdadeiro</v>
      </c>
    </row>
    <row r="58" spans="1:28" ht="21">
      <c r="A58" s="19" t="str">
        <f>'3o TRIMESTRE'!A58</f>
        <v>DISP 004/2021</v>
      </c>
      <c r="B58" s="19" t="str">
        <f>'3o TRIMESTRE'!B58</f>
        <v>CONTRATACAO DE SERVICOS EM CARATER EMERGENCIAL DE COLETA E LIMPEZA URBANA - LOTE 2</v>
      </c>
      <c r="C58" s="19" t="s">
        <v>154</v>
      </c>
      <c r="D58" s="19">
        <f>'3o TRIMESTRE'!D58</f>
        <v>0</v>
      </c>
      <c r="E58" s="64">
        <f>'3o TRIMESTRE'!E58+15823300.23</f>
        <v>15823300.23</v>
      </c>
      <c r="F58" s="64">
        <f>'3o TRIMESTRE'!F58</f>
        <v>0</v>
      </c>
      <c r="G58" s="19" t="str">
        <f>'3o TRIMESTRE'!G58</f>
        <v>02.536.066/0015-21</v>
      </c>
      <c r="H58" s="19" t="str">
        <f>'3o TRIMESTRE'!H58</f>
        <v>VITAL ENGENHARIA AMBIENTAL S/A</v>
      </c>
      <c r="I58" s="17" t="str">
        <f>'3o TRIMESTRE'!I58</f>
        <v>6-044/21</v>
      </c>
      <c r="J58" s="32">
        <f>'3o TRIMESTRE'!J58</f>
        <v>44469</v>
      </c>
      <c r="K58" s="17">
        <f>'3o TRIMESTRE'!K58</f>
        <v>180</v>
      </c>
      <c r="L58" s="64">
        <f>'3o TRIMESTRE'!L58</f>
        <v>76577831.53</v>
      </c>
      <c r="M58" s="32">
        <f t="shared" si="0"/>
        <v>44649</v>
      </c>
      <c r="N58" s="17">
        <f>'3o TRIMESTRE'!N58</f>
        <v>0</v>
      </c>
      <c r="O58" s="64">
        <f>'3o TRIMESTRE'!O58</f>
        <v>0</v>
      </c>
      <c r="P58" s="64">
        <f>'3o TRIMESTRE'!P58</f>
        <v>4813284.33</v>
      </c>
      <c r="Q58" s="17" t="str">
        <f>'3o TRIMESTRE'!Q58</f>
        <v>3.3.90.39</v>
      </c>
      <c r="R58" s="64">
        <f>'3o TRIMESTRE'!R58</f>
        <v>75302394.27999999</v>
      </c>
      <c r="S58" s="64"/>
      <c r="T58" s="64">
        <f>'3o TRIMESTRE'!T58+S58</f>
        <v>46567923.99999999</v>
      </c>
      <c r="U58" s="64">
        <f>'3o TRIMESTRE'!U58+S58</f>
        <v>74004719.57</v>
      </c>
      <c r="V58" s="19" t="str">
        <f>'3o TRIMESTRE'!V58</f>
        <v>andamento</v>
      </c>
      <c r="W58" s="10">
        <f t="shared" si="1"/>
        <v>-1297674.7099999934</v>
      </c>
      <c r="X58" s="78"/>
      <c r="Y58" s="33"/>
      <c r="Z58" s="33"/>
      <c r="AA58" s="38" t="str">
        <f t="shared" si="2"/>
        <v>verdadeiro</v>
      </c>
      <c r="AB58" s="42"/>
    </row>
    <row r="59" spans="1:27" ht="42.75">
      <c r="A59" s="19" t="str">
        <f>'3o TRIMESTRE'!A59</f>
        <v>Pregão Eletrônico Licitação: 031/2021</v>
      </c>
      <c r="B59" s="19" t="str">
        <f>'3o TRIMESTRE'!B59</f>
        <v>CONTRATAÇÃO DE EMPRESA DE ENGENHARIA NA ÁREA DE GEOTÉCNIA PARA ENSAIO DE PENETRAÇÃO DE UM CONE ESTÁTICO DE AÇO COM MEDIDAS DE PRESSÕES NEUTRAS CPTU CONFORME PROCEDIMENTOS DA NORMA ASTM D 5778 95</v>
      </c>
      <c r="C59" s="19" t="s">
        <v>153</v>
      </c>
      <c r="D59" s="19">
        <f>'3o TRIMESTRE'!D59</f>
        <v>0</v>
      </c>
      <c r="E59" s="64">
        <f>'3o TRIMESTRE'!E59</f>
        <v>0</v>
      </c>
      <c r="F59" s="64">
        <f>'3o TRIMESTRE'!F59</f>
        <v>0</v>
      </c>
      <c r="G59" s="19" t="str">
        <f>'3o TRIMESTRE'!G59</f>
        <v>18.968.880/0001-50</v>
      </c>
      <c r="H59" s="19" t="str">
        <f>'3o TRIMESTRE'!H59</f>
        <v>A1MC PROJETOS LTDA</v>
      </c>
      <c r="I59" s="17" t="str">
        <f>'3o TRIMESTRE'!I59</f>
        <v>6-045/21</v>
      </c>
      <c r="J59" s="32">
        <f>'3o TRIMESTRE'!J59</f>
        <v>44523</v>
      </c>
      <c r="K59" s="17">
        <f>'3o TRIMESTRE'!K59</f>
        <v>60</v>
      </c>
      <c r="L59" s="64">
        <f>'3o TRIMESTRE'!L59</f>
        <v>100000</v>
      </c>
      <c r="M59" s="32">
        <f t="shared" si="0"/>
        <v>44583</v>
      </c>
      <c r="N59" s="17">
        <f>'3o TRIMESTRE'!N59</f>
        <v>0</v>
      </c>
      <c r="O59" s="64">
        <f>'3o TRIMESTRE'!O59</f>
        <v>8966.94</v>
      </c>
      <c r="P59" s="64">
        <f>'3o TRIMESTRE'!P59</f>
        <v>0</v>
      </c>
      <c r="Q59" s="17" t="str">
        <f>'3o TRIMESTRE'!Q59</f>
        <v>3.3.90.39</v>
      </c>
      <c r="R59" s="64">
        <f>'3o TRIMESTRE'!R59</f>
        <v>108966.93000000001</v>
      </c>
      <c r="S59" s="64"/>
      <c r="T59" s="64">
        <f>'3o TRIMESTRE'!T59+S59</f>
        <v>45018.95</v>
      </c>
      <c r="U59" s="64">
        <f>'3o TRIMESTRE'!U59+S59</f>
        <v>108966.93</v>
      </c>
      <c r="V59" s="19" t="str">
        <f>'3o TRIMESTRE'!V59</f>
        <v>encerrado</v>
      </c>
      <c r="W59" s="10">
        <f t="shared" si="1"/>
        <v>0</v>
      </c>
      <c r="X59" s="78"/>
      <c r="Y59" s="33"/>
      <c r="Z59" s="33"/>
      <c r="AA59" s="38" t="str">
        <f t="shared" si="2"/>
        <v>verdadeiro</v>
      </c>
    </row>
    <row r="60" spans="1:28" ht="21">
      <c r="A60" s="19" t="str">
        <f>'3o TRIMESTRE'!A60</f>
        <v>DISP 003/2021</v>
      </c>
      <c r="B60" s="19" t="str">
        <f>'3o TRIMESTRE'!B60</f>
        <v>CONTRATACAO DE SERVICO. EM CARATER EMERGENCIAL. DE COLETA E LIMPEZA URBANA LOTE 1</v>
      </c>
      <c r="C60" s="19">
        <v>0</v>
      </c>
      <c r="D60" s="19">
        <f>'3o TRIMESTRE'!D60</f>
        <v>0</v>
      </c>
      <c r="E60" s="64">
        <f>'3o TRIMESTRE'!E60</f>
        <v>0</v>
      </c>
      <c r="F60" s="64">
        <f>'3o TRIMESTRE'!F60</f>
        <v>0</v>
      </c>
      <c r="G60" s="19" t="str">
        <f>'3o TRIMESTRE'!G60</f>
        <v>12.854.865/0001-02</v>
      </c>
      <c r="H60" s="19" t="str">
        <f>'3o TRIMESTRE'!H60</f>
        <v>COELHO DE  ANDRADE ENGENHARIA LTDA</v>
      </c>
      <c r="I60" s="17" t="str">
        <f>'3o TRIMESTRE'!I60</f>
        <v>6-048/21</v>
      </c>
      <c r="J60" s="32">
        <f>'3o TRIMESTRE'!J60</f>
        <v>44469</v>
      </c>
      <c r="K60" s="17">
        <f>'3o TRIMESTRE'!K60</f>
        <v>180</v>
      </c>
      <c r="L60" s="64">
        <f>'3o TRIMESTRE'!L60</f>
        <v>26846364.45</v>
      </c>
      <c r="M60" s="32">
        <f t="shared" si="0"/>
        <v>44649</v>
      </c>
      <c r="N60" s="17">
        <f>'3o TRIMESTRE'!N60</f>
        <v>0</v>
      </c>
      <c r="O60" s="64">
        <f>'3o TRIMESTRE'!O60</f>
        <v>0</v>
      </c>
      <c r="P60" s="64">
        <f>'3o TRIMESTRE'!P60</f>
        <v>1905664.26</v>
      </c>
      <c r="Q60" s="17" t="str">
        <f>'3o TRIMESTRE'!Q60</f>
        <v>3.3.90.39</v>
      </c>
      <c r="R60" s="64">
        <f>'3o TRIMESTRE'!R60+479586.47</f>
        <v>25961243.74</v>
      </c>
      <c r="S60" s="64"/>
      <c r="T60" s="64">
        <f>'3o TRIMESTRE'!T60+S60</f>
        <v>13053855.730000002</v>
      </c>
      <c r="U60" s="64">
        <f>'3o TRIMESTRE'!U60+S60</f>
        <v>24990165.110000003</v>
      </c>
      <c r="V60" s="19" t="str">
        <f>'3o TRIMESTRE'!V60</f>
        <v>andamento</v>
      </c>
      <c r="W60" s="10">
        <f t="shared" si="1"/>
        <v>-971078.6299999952</v>
      </c>
      <c r="X60" s="78"/>
      <c r="Y60" s="33"/>
      <c r="Z60" s="33"/>
      <c r="AA60" s="38" t="str">
        <f t="shared" si="2"/>
        <v>verdadeiro</v>
      </c>
      <c r="AB60" s="42"/>
    </row>
    <row r="61" spans="1:28" ht="31.5">
      <c r="A61" s="19" t="str">
        <f>'3o TRIMESTRE'!A61</f>
        <v>PREGÃO ELETRÔNICO Licitação: 26/2021</v>
      </c>
      <c r="B61" s="19" t="str">
        <f>'3o TRIMESTRE'!B61</f>
        <v>CONTRATAÇÃO DE EMPRESA ESPECIALIZADA EM ENGENHARIA SANITÁRIA PARA A EXECUÇÃO DOS SERVIÇOS DE COLETA E LIMPEZA URBANA NO MUNICÍPIO DO RECIFE</v>
      </c>
      <c r="C61" s="19" t="s">
        <v>153</v>
      </c>
      <c r="D61" s="19">
        <f>'3o TRIMESTRE'!D61</f>
        <v>0</v>
      </c>
      <c r="E61" s="64">
        <f>'3o TRIMESTRE'!E61+15823300.23</f>
        <v>15823300.23</v>
      </c>
      <c r="F61" s="64">
        <f>'3o TRIMESTRE'!F61</f>
        <v>0</v>
      </c>
      <c r="G61" s="19" t="str">
        <f>'3o TRIMESTRE'!G61</f>
        <v>40.884.405/0001-54</v>
      </c>
      <c r="H61" s="19" t="str">
        <f>'3o TRIMESTRE'!H61</f>
        <v>LOQUIPE LOCACAO DE EQUIPAMENTOS E MAO DE OBRA LTDA</v>
      </c>
      <c r="I61" s="17" t="str">
        <f>'3o TRIMESTRE'!I61</f>
        <v>6-053/21</v>
      </c>
      <c r="J61" s="32">
        <f>'3o TRIMESTRE'!J61</f>
        <v>44530</v>
      </c>
      <c r="K61" s="17">
        <f>'3o TRIMESTRE'!K61</f>
        <v>1920</v>
      </c>
      <c r="L61" s="64">
        <f>'3o TRIMESTRE'!L61</f>
        <v>133146086.4</v>
      </c>
      <c r="M61" s="32">
        <f t="shared" si="0"/>
        <v>46450</v>
      </c>
      <c r="N61" s="17">
        <f>'3o TRIMESTRE'!N61</f>
        <v>0</v>
      </c>
      <c r="O61" s="64">
        <f>'3o TRIMESTRE'!O61</f>
        <v>0</v>
      </c>
      <c r="P61" s="64">
        <f>'3o TRIMESTRE'!P61</f>
        <v>28492880.4</v>
      </c>
      <c r="Q61" s="17" t="str">
        <f>'3o TRIMESTRE'!Q61</f>
        <v>3.3.90.39</v>
      </c>
      <c r="R61" s="64">
        <f>'3o TRIMESTRE'!R61</f>
        <v>15355391.790000001</v>
      </c>
      <c r="S61" s="64"/>
      <c r="T61" s="64">
        <f>'3o TRIMESTRE'!T61+S61</f>
        <v>15355391.79</v>
      </c>
      <c r="U61" s="64">
        <f>'3o TRIMESTRE'!U61+S61</f>
        <v>15355391.79</v>
      </c>
      <c r="V61" s="19" t="str">
        <f>'3o TRIMESTRE'!V61</f>
        <v>andamento</v>
      </c>
      <c r="W61" s="10">
        <f t="shared" si="1"/>
        <v>0</v>
      </c>
      <c r="X61" s="78"/>
      <c r="Y61" s="33"/>
      <c r="Z61" s="33"/>
      <c r="AA61" s="38" t="str">
        <f t="shared" si="2"/>
        <v>verdadeiro</v>
      </c>
      <c r="AB61" s="41"/>
    </row>
    <row r="62" spans="1:27" ht="42.75">
      <c r="A62" s="19" t="str">
        <f>'3o TRIMESTRE'!A62</f>
        <v>Pregão Eletrônico Licitação: 032/2021</v>
      </c>
      <c r="B62" s="19" t="str">
        <f>'3o TRIMESTRE'!B62</f>
        <v>CONTRATAÇÃO DE EMPRESA ESPECIALIZADA NA PRESTAÇÃO DE SERVIÇOS CONTÍNUOS DE PAISAGISMO E CONSERVAÇÃO PREVENTIVA E CORRETIVA DE PARQUES, PRAÇAS, JARDINS E ÁREAS VERDES PÚBLICAS NA CIDADE DO RECIFE - LOTE 01</v>
      </c>
      <c r="C62" s="19">
        <v>0</v>
      </c>
      <c r="D62" s="19">
        <f>'3o TRIMESTRE'!D62</f>
        <v>0</v>
      </c>
      <c r="E62" s="64">
        <f>'3o TRIMESTRE'!E62</f>
        <v>0</v>
      </c>
      <c r="F62" s="64">
        <f>'3o TRIMESTRE'!F62</f>
        <v>0</v>
      </c>
      <c r="G62" s="19" t="str">
        <f>'3o TRIMESTRE'!G62</f>
        <v>08.963.533/0001-80</v>
      </c>
      <c r="H62" s="19" t="str">
        <f>'3o TRIMESTRE'!H62</f>
        <v>FAR COMERCIO E SERVIÇOS PAISAGISTICOS LTDA</v>
      </c>
      <c r="I62" s="17" t="str">
        <f>'3o TRIMESTRE'!I62</f>
        <v>6-056/21</v>
      </c>
      <c r="J62" s="32">
        <f>'3o TRIMESTRE'!J62</f>
        <v>44531</v>
      </c>
      <c r="K62" s="17">
        <f>'3o TRIMESTRE'!K62</f>
        <v>760</v>
      </c>
      <c r="L62" s="64">
        <f>'3o TRIMESTRE'!L62</f>
        <v>3696587.52</v>
      </c>
      <c r="M62" s="32">
        <f t="shared" si="0"/>
        <v>45291</v>
      </c>
      <c r="N62" s="17">
        <f>'3o TRIMESTRE'!N62</f>
        <v>0</v>
      </c>
      <c r="O62" s="64">
        <f>'3o TRIMESTRE'!O62</f>
        <v>0</v>
      </c>
      <c r="P62" s="64">
        <f>'3o TRIMESTRE'!P62</f>
        <v>0</v>
      </c>
      <c r="Q62" s="17" t="str">
        <f>'3o TRIMESTRE'!Q62</f>
        <v>3.3.90.39</v>
      </c>
      <c r="R62" s="64">
        <f>'3o TRIMESTRE'!R62+1115906.67</f>
        <v>2455155.71</v>
      </c>
      <c r="S62" s="64"/>
      <c r="T62" s="64">
        <f>'3o TRIMESTRE'!T62+S62</f>
        <v>1307677.24</v>
      </c>
      <c r="U62" s="64">
        <f>'3o TRIMESTRE'!U62+S62</f>
        <v>1339249.04</v>
      </c>
      <c r="V62" s="19" t="str">
        <f>'3o TRIMESTRE'!V62</f>
        <v>andamento</v>
      </c>
      <c r="W62" s="10">
        <f t="shared" si="1"/>
        <v>-1115906.67</v>
      </c>
      <c r="X62" s="78"/>
      <c r="Y62" s="33"/>
      <c r="Z62" s="33"/>
      <c r="AA62" s="38" t="str">
        <f t="shared" si="2"/>
        <v>verdadeiro</v>
      </c>
    </row>
    <row r="63" spans="1:27" ht="42.75">
      <c r="A63" s="19" t="str">
        <f>'3o TRIMESTRE'!A63</f>
        <v>Pregão Eletrônico Licitação: 032/2021</v>
      </c>
      <c r="B63" s="19" t="str">
        <f>'3o TRIMESTRE'!B63</f>
        <v>CONTRATAÇÃO DE EMPRESA ESPECIALIZADA NA PRESTAÇÃO DE SERVIÇOS CONTÍNUOS DE PAISAGISMO E CONSERVAÇÃO PREVENTIVA E CORRETIVA DE PARQUES, PRAÇAS, JARDINS E ÁREAS VERDES PÚBLICOS NA CIDADE DO RECIFE - LOTE 02</v>
      </c>
      <c r="C63" s="19" t="s">
        <v>153</v>
      </c>
      <c r="D63" s="19">
        <f>'3o TRIMESTRE'!D63</f>
        <v>0</v>
      </c>
      <c r="E63" s="64">
        <f>'3o TRIMESTRE'!E63+15823300.23</f>
        <v>15823300.23</v>
      </c>
      <c r="F63" s="64">
        <f>'3o TRIMESTRE'!F63</f>
        <v>0</v>
      </c>
      <c r="G63" s="19" t="str">
        <f>'3o TRIMESTRE'!G63</f>
        <v>08.963.533/0001-80</v>
      </c>
      <c r="H63" s="19" t="str">
        <f>'3o TRIMESTRE'!H63</f>
        <v>FAR COMERCIO E SERVIÇOS PAISAGISTICOS LTDA</v>
      </c>
      <c r="I63" s="17" t="str">
        <f>'3o TRIMESTRE'!I63</f>
        <v>6-057/21</v>
      </c>
      <c r="J63" s="32">
        <f>'3o TRIMESTRE'!J63</f>
        <v>44532</v>
      </c>
      <c r="K63" s="17">
        <f>'3o TRIMESTRE'!K63</f>
        <v>760</v>
      </c>
      <c r="L63" s="64">
        <f>'3o TRIMESTRE'!L63</f>
        <v>3380477.52</v>
      </c>
      <c r="M63" s="32">
        <f t="shared" si="0"/>
        <v>45292</v>
      </c>
      <c r="N63" s="17">
        <f>'3o TRIMESTRE'!N63</f>
        <v>0</v>
      </c>
      <c r="O63" s="64">
        <f>'3o TRIMESTRE'!O63</f>
        <v>255909.3</v>
      </c>
      <c r="P63" s="64">
        <f>'3o TRIMESTRE'!P63</f>
        <v>0</v>
      </c>
      <c r="Q63" s="17" t="str">
        <f>'3o TRIMESTRE'!Q63</f>
        <v>3.3.90.39</v>
      </c>
      <c r="R63" s="64">
        <f>'3o TRIMESTRE'!R63</f>
        <v>1267083.3699999999</v>
      </c>
      <c r="S63" s="64"/>
      <c r="T63" s="64">
        <f>'3o TRIMESTRE'!T63+S63</f>
        <v>1207513.91</v>
      </c>
      <c r="U63" s="64">
        <f>'3o TRIMESTRE'!U63+S63</f>
        <v>1267083.3699999999</v>
      </c>
      <c r="V63" s="19" t="str">
        <f>'3o TRIMESTRE'!V63</f>
        <v>andamento</v>
      </c>
      <c r="W63" s="10">
        <f t="shared" si="1"/>
        <v>0</v>
      </c>
      <c r="X63" s="78"/>
      <c r="Y63" s="33"/>
      <c r="Z63" s="33"/>
      <c r="AA63" s="38" t="str">
        <f t="shared" si="2"/>
        <v>verdadeiro</v>
      </c>
    </row>
    <row r="64" spans="1:27" ht="21">
      <c r="A64" s="19" t="str">
        <f>'3o TRIMESTRE'!A64</f>
        <v>PREGÃO ELETRÔNICO Licitação: 21/2021</v>
      </c>
      <c r="B64" s="19" t="str">
        <f>'3o TRIMESTRE'!B64</f>
        <v>SERVIÇOS DE REFORMA NAS DEPENDÊNCIAS DO CENTRO DE COMPOSTAGEM, LOCALIZADO NO CURADO - PE</v>
      </c>
      <c r="C64" s="19">
        <v>0</v>
      </c>
      <c r="D64" s="19">
        <f>'3o TRIMESTRE'!D64</f>
        <v>0</v>
      </c>
      <c r="E64" s="64">
        <f>'3o TRIMESTRE'!E64</f>
        <v>0</v>
      </c>
      <c r="F64" s="64">
        <f>'3o TRIMESTRE'!F64</f>
        <v>0</v>
      </c>
      <c r="G64" s="19" t="str">
        <f>'3o TRIMESTRE'!G64</f>
        <v>41.116.138/0001-38</v>
      </c>
      <c r="H64" s="19" t="str">
        <f>'3o TRIMESTRE'!H64</f>
        <v>REAL ENERGY LTDA</v>
      </c>
      <c r="I64" s="17" t="str">
        <f>'3o TRIMESTRE'!I64</f>
        <v>6-033/21</v>
      </c>
      <c r="J64" s="32">
        <f>'3o TRIMESTRE'!J64</f>
        <v>44517</v>
      </c>
      <c r="K64" s="17">
        <f>'3o TRIMESTRE'!K64</f>
        <v>90</v>
      </c>
      <c r="L64" s="64">
        <f>'3o TRIMESTRE'!L64</f>
        <v>138202.17</v>
      </c>
      <c r="M64" s="32">
        <f t="shared" si="0"/>
        <v>44607</v>
      </c>
      <c r="N64" s="17">
        <f>'3o TRIMESTRE'!N64</f>
        <v>0</v>
      </c>
      <c r="O64" s="64">
        <f>'3o TRIMESTRE'!O64+105238.25</f>
        <v>105238.25</v>
      </c>
      <c r="P64" s="64">
        <f>'3o TRIMESTRE'!P64</f>
        <v>0</v>
      </c>
      <c r="Q64" s="17" t="str">
        <f>'3o TRIMESTRE'!Q64</f>
        <v>3.3.90.39</v>
      </c>
      <c r="R64" s="64">
        <f>'3o TRIMESTRE'!R64+1243464.65</f>
        <v>1361120.9</v>
      </c>
      <c r="S64" s="64"/>
      <c r="T64" s="64">
        <f>'3o TRIMESTRE'!T64+S64</f>
        <v>117656.25</v>
      </c>
      <c r="U64" s="64">
        <f>'3o TRIMESTRE'!U64+S64</f>
        <v>117656.25</v>
      </c>
      <c r="V64" s="19" t="str">
        <f>'3o TRIMESTRE'!V64</f>
        <v>encerrado</v>
      </c>
      <c r="W64" s="10">
        <f t="shared" si="1"/>
        <v>-1243464.65</v>
      </c>
      <c r="X64" s="78"/>
      <c r="Y64" s="33"/>
      <c r="Z64" s="33"/>
      <c r="AA64" s="38" t="str">
        <f t="shared" si="2"/>
        <v>verdadeiro</v>
      </c>
    </row>
    <row r="65" spans="1:27" ht="53.25">
      <c r="A65" s="19" t="str">
        <f>'3o TRIMESTRE'!A65</f>
        <v>CONCORRÊNCIA Licitação: 006/2021</v>
      </c>
      <c r="B65" s="19" t="str">
        <f>'3o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19">
        <v>0</v>
      </c>
      <c r="D65" s="19" t="str">
        <f>'3o TRIMESTRE'!D65</f>
        <v>Emenda Parlamentar Federal</v>
      </c>
      <c r="E65" s="64">
        <f>'3o TRIMESTRE'!E65</f>
        <v>3820000</v>
      </c>
      <c r="F65" s="64">
        <f>'3o TRIMESTRE'!F65</f>
        <v>8000</v>
      </c>
      <c r="G65" s="19" t="str">
        <f>'3o TRIMESTRE'!G65</f>
        <v>02.724.778/0001-79</v>
      </c>
      <c r="H65" s="19" t="str">
        <f>'3o TRIMESTRE'!H65</f>
        <v>UNITERRA - UNIAO TERRAPLENAGEM E CONSTRUCOES LTDA</v>
      </c>
      <c r="I65" s="17" t="str">
        <f>'3o TRIMESTRE'!I65</f>
        <v>6-035/21</v>
      </c>
      <c r="J65" s="32">
        <f>'3o TRIMESTRE'!J65</f>
        <v>44456</v>
      </c>
      <c r="K65" s="17">
        <f>'3o TRIMESTRE'!K65</f>
        <v>210</v>
      </c>
      <c r="L65" s="64">
        <f>'3o TRIMESTRE'!L65</f>
        <v>2111167.85</v>
      </c>
      <c r="M65" s="32">
        <f t="shared" si="0"/>
        <v>44882</v>
      </c>
      <c r="N65" s="17">
        <f>'3o TRIMESTRE'!N65</f>
        <v>216</v>
      </c>
      <c r="O65" s="64">
        <f>'3o TRIMESTRE'!O65</f>
        <v>0</v>
      </c>
      <c r="P65" s="64">
        <f>'3o TRIMESTRE'!P65</f>
        <v>-1342.84</v>
      </c>
      <c r="Q65" s="17" t="str">
        <f>'3o TRIMESTRE'!Q65</f>
        <v>4.4.90.39</v>
      </c>
      <c r="R65" s="64">
        <f>'3o TRIMESTRE'!R65+926136.61</f>
        <v>1651012.1600000001</v>
      </c>
      <c r="S65" s="64"/>
      <c r="T65" s="64">
        <f>'3o TRIMESTRE'!T65+S65</f>
        <v>499606.08</v>
      </c>
      <c r="U65" s="64">
        <f>'3o TRIMESTRE'!U65+S65</f>
        <v>499606.08</v>
      </c>
      <c r="V65" s="19" t="str">
        <f>'3o TRIMESTRE'!V65</f>
        <v>andamento</v>
      </c>
      <c r="W65" s="10">
        <f t="shared" si="1"/>
        <v>-1151406.08</v>
      </c>
      <c r="X65" s="78"/>
      <c r="Y65" s="33"/>
      <c r="Z65" s="33"/>
      <c r="AA65" s="38" t="str">
        <f t="shared" si="2"/>
        <v>verdadeiro</v>
      </c>
    </row>
    <row r="66" spans="1:27" ht="53.25">
      <c r="A66" s="19" t="str">
        <f>'3o TRIMESTRE'!A66</f>
        <v>CONCORRÊNCIA Licitação: 006/2021</v>
      </c>
      <c r="B66" s="19" t="str">
        <f>'3o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19" t="s">
        <v>154</v>
      </c>
      <c r="D66" s="19" t="str">
        <f>'3o TRIMESTRE'!D66</f>
        <v>Emenda Parlamentar Federal</v>
      </c>
      <c r="E66" s="64">
        <f>'3o TRIMESTRE'!E66+15823300.23</f>
        <v>19643300.23</v>
      </c>
      <c r="F66" s="64">
        <f>'3o TRIMESTRE'!F66</f>
        <v>8000</v>
      </c>
      <c r="G66" s="19" t="str">
        <f>'3o TRIMESTRE'!G66</f>
        <v>02.724.778/0001-79</v>
      </c>
      <c r="H66" s="19" t="str">
        <f>'3o TRIMESTRE'!H66</f>
        <v>UNITERRA - UNIAO TERRAPLENAGEM E CONSTRUCOES LTDA</v>
      </c>
      <c r="I66" s="17" t="str">
        <f>'3o TRIMESTRE'!I66</f>
        <v>6-041/21</v>
      </c>
      <c r="J66" s="32">
        <f>'3o TRIMESTRE'!J66</f>
        <v>44456</v>
      </c>
      <c r="K66" s="17">
        <f>'3o TRIMESTRE'!K66</f>
        <v>180</v>
      </c>
      <c r="L66" s="64">
        <f>'3o TRIMESTRE'!L66</f>
        <v>1022476.9</v>
      </c>
      <c r="M66" s="32">
        <f t="shared" si="0"/>
        <v>44906</v>
      </c>
      <c r="N66" s="17">
        <f>'3o TRIMESTRE'!N66</f>
        <v>270</v>
      </c>
      <c r="O66" s="64">
        <f>'3o TRIMESTRE'!O66</f>
        <v>0</v>
      </c>
      <c r="P66" s="64">
        <f>'3o TRIMESTRE'!P66</f>
        <v>-817.52</v>
      </c>
      <c r="Q66" s="17" t="str">
        <f>'3o TRIMESTRE'!Q66</f>
        <v>4.4.90.39</v>
      </c>
      <c r="R66" s="64">
        <f>'3o TRIMESTRE'!R66</f>
        <v>243293.74</v>
      </c>
      <c r="S66" s="64"/>
      <c r="T66" s="64">
        <f>'3o TRIMESTRE'!T66+S66</f>
        <v>239052.4</v>
      </c>
      <c r="U66" s="64">
        <f>'3o TRIMESTRE'!U66+S66</f>
        <v>239052.4</v>
      </c>
      <c r="V66" s="19" t="str">
        <f>'3o TRIMESTRE'!V66</f>
        <v>andamento</v>
      </c>
      <c r="W66" s="10">
        <f t="shared" si="1"/>
        <v>-4241.3399999999965</v>
      </c>
      <c r="X66" s="78"/>
      <c r="Y66" s="33"/>
      <c r="Z66" s="33"/>
      <c r="AA66" s="38" t="str">
        <f t="shared" si="2"/>
        <v>verdadeiro</v>
      </c>
    </row>
    <row r="67" spans="1:27" ht="31.5">
      <c r="A67" s="19" t="str">
        <f>'3o TRIMESTRE'!A67</f>
        <v>CONCORRÊNCIA Licitação: 011/2021</v>
      </c>
      <c r="B67" s="19" t="str">
        <f>'3o TRIMESTRE'!B67</f>
        <v>CONTRATAÇÃO DE SERVIÇOS DE APOIO TÉCNICO AO MONITORAMENTO DAS AÇÕES DE MANUTENÇÃO DO SISTEMA VIÁRIO DA CIDADE DO RECIFE</v>
      </c>
      <c r="C67" s="19" t="s">
        <v>153</v>
      </c>
      <c r="D67" s="19">
        <f>'3o TRIMESTRE'!D67</f>
        <v>0</v>
      </c>
      <c r="E67" s="64">
        <f>'3o TRIMESTRE'!E67+15823300.23</f>
        <v>15823300.23</v>
      </c>
      <c r="F67" s="64">
        <f>'3o TRIMESTRE'!F67</f>
        <v>0</v>
      </c>
      <c r="G67" s="19" t="str">
        <f>'3o TRIMESTRE'!G67</f>
        <v>41.075.755/0001-32</v>
      </c>
      <c r="H67" s="19" t="str">
        <f>'3o TRIMESTRE'!H67</f>
        <v>NORCONSULT PROJETOS E CONSULTORIA LTDA</v>
      </c>
      <c r="I67" s="17" t="str">
        <f>'3o TRIMESTRE'!I67</f>
        <v>6-055/21</v>
      </c>
      <c r="J67" s="32">
        <f>'3o TRIMESTRE'!J67</f>
        <v>44531</v>
      </c>
      <c r="K67" s="17">
        <f>'3o TRIMESTRE'!K67</f>
        <v>1155</v>
      </c>
      <c r="L67" s="64">
        <f>'3o TRIMESTRE'!L67</f>
        <v>6729243.9</v>
      </c>
      <c r="M67" s="32">
        <f t="shared" si="0"/>
        <v>45686</v>
      </c>
      <c r="N67" s="17">
        <f>'3o TRIMESTRE'!N67</f>
        <v>0</v>
      </c>
      <c r="O67" s="64">
        <f>'3o TRIMESTRE'!O67</f>
        <v>54430.78</v>
      </c>
      <c r="P67" s="64">
        <f>'3o TRIMESTRE'!P67</f>
        <v>-2082965.4</v>
      </c>
      <c r="Q67" s="17" t="str">
        <f>'3o TRIMESTRE'!Q67</f>
        <v>3.3.90.39</v>
      </c>
      <c r="R67" s="64">
        <f>'3o TRIMESTRE'!R67</f>
        <v>893170.03</v>
      </c>
      <c r="S67" s="64"/>
      <c r="T67" s="64">
        <f>'3o TRIMESTRE'!T67+S67</f>
        <v>893169.73</v>
      </c>
      <c r="U67" s="64">
        <f>'3o TRIMESTRE'!U67+S67</f>
        <v>893169.73</v>
      </c>
      <c r="V67" s="19" t="s">
        <v>188</v>
      </c>
      <c r="W67" s="10">
        <f t="shared" si="1"/>
        <v>-0.30000000004656613</v>
      </c>
      <c r="X67" s="78"/>
      <c r="Y67" s="33"/>
      <c r="Z67" s="33"/>
      <c r="AA67" s="38" t="str">
        <f t="shared" si="2"/>
        <v>verdadeiro</v>
      </c>
    </row>
    <row r="68" spans="1:28" ht="63.75">
      <c r="A68" s="19" t="str">
        <f>'3o TRIMESTRE'!A68</f>
        <v>CONCORRÊNCIA Licitação: 15/2021</v>
      </c>
      <c r="B68" s="19" t="str">
        <f>'3o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19" t="s">
        <v>154</v>
      </c>
      <c r="D68" s="19">
        <f>'3o TRIMESTRE'!D68</f>
        <v>0</v>
      </c>
      <c r="E68" s="64">
        <f>'3o TRIMESTRE'!E68+15823300.23</f>
        <v>15823300.23</v>
      </c>
      <c r="F68" s="64">
        <f>'3o TRIMESTRE'!F68</f>
        <v>0</v>
      </c>
      <c r="G68" s="19" t="str">
        <f>'3o TRIMESTRE'!G68</f>
        <v>12.285.441/0001-66</v>
      </c>
      <c r="H68" s="19" t="str">
        <f>'3o TRIMESTRE'!H68</f>
        <v>TPF ENGENHARIA LTDA</v>
      </c>
      <c r="I68" s="17" t="str">
        <f>'3o TRIMESTRE'!I68</f>
        <v>6-058/21</v>
      </c>
      <c r="J68" s="32">
        <f>'3o TRIMESTRE'!J68</f>
        <v>44531</v>
      </c>
      <c r="K68" s="17">
        <f>'3o TRIMESTRE'!K68</f>
        <v>1890</v>
      </c>
      <c r="L68" s="64">
        <f>'3o TRIMESTRE'!L68</f>
        <v>39551349</v>
      </c>
      <c r="M68" s="32">
        <f t="shared" si="0"/>
        <v>46421</v>
      </c>
      <c r="N68" s="17">
        <f>'3o TRIMESTRE'!N68</f>
        <v>0</v>
      </c>
      <c r="O68" s="64">
        <f>'3o TRIMESTRE'!O68</f>
        <v>0</v>
      </c>
      <c r="P68" s="64">
        <f>'3o TRIMESTRE'!P68</f>
        <v>0</v>
      </c>
      <c r="Q68" s="17" t="str">
        <f>'3o TRIMESTRE'!Q68</f>
        <v>3.3.90.39</v>
      </c>
      <c r="R68" s="64">
        <f>'3o TRIMESTRE'!R68</f>
        <v>5295770.79</v>
      </c>
      <c r="S68" s="64"/>
      <c r="T68" s="64">
        <f>'3o TRIMESTRE'!T68+S68</f>
        <v>5295770.790000001</v>
      </c>
      <c r="U68" s="64">
        <f>'3o TRIMESTRE'!U68+S68</f>
        <v>5295770.790000001</v>
      </c>
      <c r="V68" s="19" t="str">
        <f>'3o TRIMESTRE'!V68</f>
        <v>andamento</v>
      </c>
      <c r="W68" s="10">
        <f t="shared" si="1"/>
        <v>0</v>
      </c>
      <c r="X68" s="78"/>
      <c r="Y68" s="33"/>
      <c r="Z68" s="33"/>
      <c r="AA68" s="38" t="str">
        <f t="shared" si="2"/>
        <v>verdadeiro</v>
      </c>
      <c r="AB68" s="41"/>
    </row>
    <row r="69" spans="1:27" ht="42.75">
      <c r="A69" s="19" t="str">
        <f>'3o TRIMESTRE'!A69</f>
        <v>CONCORRÊNCIA Licitação: 010/2021</v>
      </c>
      <c r="B69" s="19" t="str">
        <f>'3o TRIMESTRE'!B69</f>
        <v>CONTRATACAÇÃO DE EMPRESA ESPECIALIZADA NO RAMO DE ENGENHARIA PARA EXECUÇÃO DOS SERVIÇOS DE RECUPERAÇÃO DA REDE DE DRENAGEM NO ENTORNO DA PRAÇA MIGUEL DE CERVANTES, ILHA DO LEITE - RECIFE PE</v>
      </c>
      <c r="C69" s="19" t="s">
        <v>154</v>
      </c>
      <c r="D69" s="19">
        <f>'3o TRIMESTRE'!D69</f>
        <v>0</v>
      </c>
      <c r="E69" s="64">
        <f>'3o TRIMESTRE'!E69+15823300.23</f>
        <v>15823300.23</v>
      </c>
      <c r="F69" s="64">
        <f>'3o TRIMESTRE'!F69</f>
        <v>0</v>
      </c>
      <c r="G69" s="19" t="str">
        <f>'3o TRIMESTRE'!G69</f>
        <v>07.654.042/0001-95</v>
      </c>
      <c r="H69" s="19" t="str">
        <f>'3o TRIMESTRE'!H69</f>
        <v>ALTA SERVIÇOS DE ENGENHARIA LTDA - EPP</v>
      </c>
      <c r="I69" s="17" t="str">
        <f>'3o TRIMESTRE'!I69</f>
        <v>6-059/21</v>
      </c>
      <c r="J69" s="32">
        <f>'3o TRIMESTRE'!J69</f>
        <v>44636</v>
      </c>
      <c r="K69" s="17">
        <f>'3o TRIMESTRE'!K69</f>
        <v>90</v>
      </c>
      <c r="L69" s="64">
        <f>'3o TRIMESTRE'!L69</f>
        <v>911954.77</v>
      </c>
      <c r="M69" s="32">
        <f t="shared" si="0"/>
        <v>44788</v>
      </c>
      <c r="N69" s="17">
        <f>'3o TRIMESTRE'!N69</f>
        <v>62</v>
      </c>
      <c r="O69" s="64">
        <f>'3o TRIMESTRE'!O69</f>
        <v>100401.05</v>
      </c>
      <c r="P69" s="64">
        <f>'3o TRIMESTRE'!P69</f>
        <v>0</v>
      </c>
      <c r="Q69" s="17" t="str">
        <f>'3o TRIMESTRE'!Q69</f>
        <v>4.4.90.39</v>
      </c>
      <c r="R69" s="64">
        <f>'3o TRIMESTRE'!R69</f>
        <v>998381.65</v>
      </c>
      <c r="S69" s="64"/>
      <c r="T69" s="64">
        <f>'3o TRIMESTRE'!T69+S69</f>
        <v>998381.65</v>
      </c>
      <c r="U69" s="64">
        <f>'3o TRIMESTRE'!U69+S69</f>
        <v>998381.65</v>
      </c>
      <c r="V69" s="19" t="s">
        <v>188</v>
      </c>
      <c r="W69" s="10">
        <f t="shared" si="1"/>
        <v>0</v>
      </c>
      <c r="X69" s="78"/>
      <c r="Y69" s="33"/>
      <c r="Z69" s="33"/>
      <c r="AA69" s="38" t="str">
        <f t="shared" si="2"/>
        <v>verdadeiro</v>
      </c>
    </row>
    <row r="70" spans="1:28" ht="53.25">
      <c r="A70" s="19" t="str">
        <f>'3o TRIMESTRE'!A70</f>
        <v>TOMADA DE PREÇOS Licitação: 007/2021</v>
      </c>
      <c r="B70" s="19" t="str">
        <f>'3o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19" t="s">
        <v>154</v>
      </c>
      <c r="D70" s="19" t="str">
        <f>'3o TRIMESTRE'!D70</f>
        <v>Emenda Parlamentar Federal</v>
      </c>
      <c r="E70" s="64">
        <f>'3o TRIMESTRE'!E70+15823300.23</f>
        <v>16179037.23</v>
      </c>
      <c r="F70" s="64">
        <f>'3o TRIMESTRE'!F70</f>
        <v>2000</v>
      </c>
      <c r="G70" s="19" t="str">
        <f>'3o TRIMESTRE'!G70</f>
        <v>05.625.079/0001-60</v>
      </c>
      <c r="H70" s="19" t="str">
        <f>'3o TRIMESTRE'!H70</f>
        <v>CONSTRUTORA MARDIFI LTDA - EPP </v>
      </c>
      <c r="I70" s="17" t="str">
        <f>'3o TRIMESTRE'!I70</f>
        <v>6-060/21</v>
      </c>
      <c r="J70" s="32">
        <f>'3o TRIMESTRE'!J70</f>
        <v>44603</v>
      </c>
      <c r="K70" s="17">
        <f>'3o TRIMESTRE'!K70</f>
        <v>150</v>
      </c>
      <c r="L70" s="64">
        <f>'3o TRIMESTRE'!L70</f>
        <v>193107.81</v>
      </c>
      <c r="M70" s="32">
        <f t="shared" si="0"/>
        <v>44843</v>
      </c>
      <c r="N70" s="17">
        <f>'3o TRIMESTRE'!N70</f>
        <v>90</v>
      </c>
      <c r="O70" s="64">
        <f>'3o TRIMESTRE'!O70</f>
        <v>0</v>
      </c>
      <c r="P70" s="64">
        <f>'3o TRIMESTRE'!P70</f>
        <v>0</v>
      </c>
      <c r="Q70" s="17" t="str">
        <f>'3o TRIMESTRE'!Q70</f>
        <v>4.4.90.39</v>
      </c>
      <c r="R70" s="64">
        <f>'3o TRIMESTRE'!R70</f>
        <v>0</v>
      </c>
      <c r="S70" s="64"/>
      <c r="T70" s="64">
        <f>'3o TRIMESTRE'!T70+S70</f>
        <v>0</v>
      </c>
      <c r="U70" s="64">
        <f>'3o TRIMESTRE'!U70+S70</f>
        <v>0</v>
      </c>
      <c r="V70" s="19" t="str">
        <f>'3o TRIMESTRE'!V70</f>
        <v>andamento</v>
      </c>
      <c r="W70" s="10">
        <f t="shared" si="1"/>
        <v>0</v>
      </c>
      <c r="X70" s="78"/>
      <c r="Y70" s="33"/>
      <c r="Z70" s="33"/>
      <c r="AA70" s="38" t="str">
        <f t="shared" si="2"/>
        <v>verdadeiro</v>
      </c>
      <c r="AB70" s="42"/>
    </row>
    <row r="71" spans="1:27" ht="53.25">
      <c r="A71" s="19" t="str">
        <f>'3o TRIMESTRE'!A71</f>
        <v>TOMADA DE PREÇOS Licitação: 007/2021</v>
      </c>
      <c r="B71" s="19" t="str">
        <f>'3o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19" t="s">
        <v>154</v>
      </c>
      <c r="D71" s="19" t="str">
        <f>'3o TRIMESTRE'!D71</f>
        <v>Emenda Parlamentar Federal</v>
      </c>
      <c r="E71" s="64">
        <f>'3o TRIMESTRE'!E71+15823300.23</f>
        <v>16179037.23</v>
      </c>
      <c r="F71" s="64">
        <f>'3o TRIMESTRE'!F71</f>
        <v>2000</v>
      </c>
      <c r="G71" s="19" t="str">
        <f>'3o TRIMESTRE'!G71</f>
        <v>05.625.079/0001-60</v>
      </c>
      <c r="H71" s="19" t="str">
        <f>'3o TRIMESTRE'!H71</f>
        <v>CONSTRUTORA MARDIFI LTDA - EPP </v>
      </c>
      <c r="I71" s="17" t="str">
        <f>'3o TRIMESTRE'!I71</f>
        <v>6-061/21</v>
      </c>
      <c r="J71" s="32">
        <f>'3o TRIMESTRE'!J71</f>
        <v>44603</v>
      </c>
      <c r="K71" s="17">
        <f>'3o TRIMESTRE'!K71</f>
        <v>150</v>
      </c>
      <c r="L71" s="64">
        <f>'3o TRIMESTRE'!L71</f>
        <v>119800.38</v>
      </c>
      <c r="M71" s="32">
        <f t="shared" si="0"/>
        <v>44933</v>
      </c>
      <c r="N71" s="17">
        <f>'3o TRIMESTRE'!N71</f>
        <v>180</v>
      </c>
      <c r="O71" s="64">
        <f>'3o TRIMESTRE'!O71</f>
        <v>0</v>
      </c>
      <c r="P71" s="64">
        <f>'3o TRIMESTRE'!P71</f>
        <v>-48.25</v>
      </c>
      <c r="Q71" s="17" t="str">
        <f>'3o TRIMESTRE'!Q71</f>
        <v>4.4.90.39</v>
      </c>
      <c r="R71" s="64">
        <f>'3o TRIMESTRE'!R71+689208.11</f>
        <v>695022</v>
      </c>
      <c r="S71" s="64"/>
      <c r="T71" s="64">
        <f>'3o TRIMESTRE'!T71+S71</f>
        <v>0</v>
      </c>
      <c r="U71" s="64">
        <f>'3o TRIMESTRE'!U71+S71</f>
        <v>0</v>
      </c>
      <c r="V71" s="19" t="s">
        <v>188</v>
      </c>
      <c r="W71" s="10">
        <f t="shared" si="1"/>
        <v>-695022</v>
      </c>
      <c r="X71" s="78"/>
      <c r="Y71" s="33"/>
      <c r="Z71" s="33"/>
      <c r="AA71" s="38" t="str">
        <f t="shared" si="2"/>
        <v>verdadeiro</v>
      </c>
    </row>
    <row r="72" spans="1:27" ht="42.75">
      <c r="A72" s="19" t="str">
        <f>'3o TRIMESTRE'!A72</f>
        <v>CONCORRÊNCIA Licitação: 016/2021</v>
      </c>
      <c r="B72" s="19" t="str">
        <f>'3o TRIMESTRE'!B72</f>
        <v>SERVIÇOS DE RECUPERAÇÃO ESTRUTURAL DA PONTE RODOVIÁRIA, DENOMINADA ANTIGA PONTE GIRATÓRIA, QUE LIGA O BAIRRO DE SÃO JOSÉ AO BAIRRO DO RECIFE NA CIDADE DO RECIFE - PE</v>
      </c>
      <c r="C72" s="19" t="s">
        <v>154</v>
      </c>
      <c r="D72" s="19">
        <f>'3o TRIMESTRE'!D72</f>
        <v>0</v>
      </c>
      <c r="E72" s="64">
        <f>'3o TRIMESTRE'!E72+15823300.23</f>
        <v>15823300.23</v>
      </c>
      <c r="F72" s="64">
        <f>'3o TRIMESTRE'!F72</f>
        <v>0</v>
      </c>
      <c r="G72" s="19" t="str">
        <f>'3o TRIMESTRE'!G72</f>
        <v>00.507.949/0001-82</v>
      </c>
      <c r="H72" s="19" t="str">
        <f>'3o TRIMESTRE'!H72</f>
        <v>JATOBETON ENGENHARIA LTDA</v>
      </c>
      <c r="I72" s="17" t="str">
        <f>'3o TRIMESTRE'!I72</f>
        <v>6-063/21</v>
      </c>
      <c r="J72" s="32">
        <f>'3o TRIMESTRE'!J72</f>
        <v>44615</v>
      </c>
      <c r="K72" s="17">
        <f>'3o TRIMESTRE'!K72</f>
        <v>645</v>
      </c>
      <c r="L72" s="64">
        <f>'3o TRIMESTRE'!L72</f>
        <v>9469419.63</v>
      </c>
      <c r="M72" s="32">
        <f t="shared" si="0"/>
        <v>45260</v>
      </c>
      <c r="N72" s="17">
        <f>'3o TRIMESTRE'!N72</f>
        <v>0</v>
      </c>
      <c r="O72" s="64">
        <f>'3o TRIMESTRE'!O72</f>
        <v>0</v>
      </c>
      <c r="P72" s="64">
        <f>'3o TRIMESTRE'!P72</f>
        <v>-120618.6</v>
      </c>
      <c r="Q72" s="17" t="str">
        <f>'3o TRIMESTRE'!Q72</f>
        <v>4.4.90.39</v>
      </c>
      <c r="R72" s="64">
        <f>'3o TRIMESTRE'!R72</f>
        <v>3388425.87</v>
      </c>
      <c r="S72" s="64"/>
      <c r="T72" s="64">
        <f>'3o TRIMESTRE'!T72+S72</f>
        <v>3253714.59</v>
      </c>
      <c r="U72" s="64">
        <f>'3o TRIMESTRE'!U72+S72</f>
        <v>3253714.59</v>
      </c>
      <c r="V72" s="19" t="str">
        <f>'3o TRIMESTRE'!V72</f>
        <v>andamento</v>
      </c>
      <c r="W72" s="10">
        <f t="shared" si="1"/>
        <v>-134711.28000000026</v>
      </c>
      <c r="X72" s="78"/>
      <c r="Y72" s="33"/>
      <c r="Z72" s="33"/>
      <c r="AA72" s="38" t="str">
        <f t="shared" si="2"/>
        <v>verdadeiro</v>
      </c>
    </row>
    <row r="73" spans="1:27" ht="42.75">
      <c r="A73" s="19" t="str">
        <f>'3o TRIMESTRE'!A73</f>
        <v>TOMADA DE PREÇOS Licitação: 006/2021</v>
      </c>
      <c r="B73" s="19" t="str">
        <f>'3o TRIMESTRE'!B73</f>
        <v>CONTRATAÇÃO DE EMPRESA DE ENGENHARIA, ESPECIALIZADA EM ILUMINAÇÃO PÚBLICA, PARA INSTALAÇÃO DE LUMINÁRIAS RGB COM TECNOLOGIA LED E REDE ELÉTRICA,  PARA ILUMINAÇÃO CÊNICA DA PRAÇA SOLANGE PINTO</v>
      </c>
      <c r="C73" s="19" t="s">
        <v>154</v>
      </c>
      <c r="D73" s="19">
        <f>'3o TRIMESTRE'!D73</f>
        <v>0</v>
      </c>
      <c r="E73" s="64">
        <f>'3o TRIMESTRE'!E73+15823300.23</f>
        <v>15823300.23</v>
      </c>
      <c r="F73" s="64">
        <f>'3o TRIMESTRE'!F73</f>
        <v>0</v>
      </c>
      <c r="G73" s="19" t="str">
        <f>'3o TRIMESTRE'!G73</f>
        <v>03.834.750/0001-57</v>
      </c>
      <c r="H73" s="19" t="str">
        <f>'3o TRIMESTRE'!H73</f>
        <v>EIP SERVICOS DE ILUMINACAO LTDA</v>
      </c>
      <c r="I73" s="17" t="str">
        <f>'3o TRIMESTRE'!I73</f>
        <v>6-065/21</v>
      </c>
      <c r="J73" s="32">
        <f>'3o TRIMESTRE'!J73</f>
        <v>44559</v>
      </c>
      <c r="K73" s="17">
        <f>'3o TRIMESTRE'!K73</f>
        <v>150</v>
      </c>
      <c r="L73" s="64">
        <f>'3o TRIMESTRE'!L73</f>
        <v>316211.92</v>
      </c>
      <c r="M73" s="32">
        <f aca="true" t="shared" si="3" ref="M73:M87">J73+K73+N73</f>
        <v>44799</v>
      </c>
      <c r="N73" s="17">
        <f>'3o TRIMESTRE'!N73</f>
        <v>90</v>
      </c>
      <c r="O73" s="64">
        <f>'3o TRIMESTRE'!O73</f>
        <v>0</v>
      </c>
      <c r="P73" s="64">
        <f>'3o TRIMESTRE'!P73</f>
        <v>0</v>
      </c>
      <c r="Q73" s="17" t="str">
        <f>'3o TRIMESTRE'!Q73</f>
        <v>3.3.90.39</v>
      </c>
      <c r="R73" s="64">
        <f>'3o TRIMESTRE'!R73</f>
        <v>307218.04</v>
      </c>
      <c r="S73" s="64"/>
      <c r="T73" s="64">
        <f>'3o TRIMESTRE'!T73+S73</f>
        <v>307218.04</v>
      </c>
      <c r="U73" s="64">
        <f>'3o TRIMESTRE'!U73+S73</f>
        <v>307218.04</v>
      </c>
      <c r="V73" s="19" t="s">
        <v>188</v>
      </c>
      <c r="W73" s="10">
        <f aca="true" t="shared" si="4" ref="W73:W87">U73-R73</f>
        <v>0</v>
      </c>
      <c r="X73" s="78"/>
      <c r="Y73" s="33"/>
      <c r="Z73" s="33"/>
      <c r="AA73" s="38" t="str">
        <f aca="true" t="shared" si="5" ref="AA73:AA87">IF(M73&gt;$AA$5,"verdadeiro","Falso")</f>
        <v>verdadeiro</v>
      </c>
    </row>
    <row r="74" spans="1:27" ht="42.75">
      <c r="A74" s="19" t="str">
        <f>'3o TRIMESTRE'!A74</f>
        <v>TOMADA DE PREÇOS Licitação: 005/2021</v>
      </c>
      <c r="B74" s="19" t="str">
        <f>'3o TRIMESTRE'!B74</f>
        <v>CONTRATAÇÃO DE EMPRESA DE ENGENHARIA, ESPECIALIZADA EM ILUMINAÇÃO PÚBLICA, PARA INSTALAÇÃO DE LUMINÁRIAS RGB COM TECNOLOGIA LED E REDE ELÉTRICA, PARA ILUMINAÇÃO CÊNICA DA PONTE DA BOA VISTA, NO BAIRRO DA BOA VISTA</v>
      </c>
      <c r="C74" s="19" t="s">
        <v>154</v>
      </c>
      <c r="D74" s="19" t="str">
        <f>'3o TRIMESTRE'!D74</f>
        <v>FINISA</v>
      </c>
      <c r="E74" s="64">
        <f>'3o TRIMESTRE'!E74+15823300.23</f>
        <v>65823300.230000004</v>
      </c>
      <c r="F74" s="64">
        <f>'3o TRIMESTRE'!F74</f>
        <v>0</v>
      </c>
      <c r="G74" s="19" t="str">
        <f>'3o TRIMESTRE'!G74</f>
        <v>32.185.141/0001-12</v>
      </c>
      <c r="H74" s="19" t="str">
        <f>'3o TRIMESTRE'!H74</f>
        <v>CASTRO &amp; ROCHA LTDA</v>
      </c>
      <c r="I74" s="17" t="str">
        <f>'3o TRIMESTRE'!I74</f>
        <v>6-066/21</v>
      </c>
      <c r="J74" s="32">
        <f>'3o TRIMESTRE'!J74</f>
        <v>44559</v>
      </c>
      <c r="K74" s="17">
        <f>'3o TRIMESTRE'!K74</f>
        <v>90</v>
      </c>
      <c r="L74" s="64">
        <f>'3o TRIMESTRE'!L74</f>
        <v>279121.41</v>
      </c>
      <c r="M74" s="32">
        <f t="shared" si="3"/>
        <v>44802</v>
      </c>
      <c r="N74" s="17">
        <f>'3o TRIMESTRE'!N74</f>
        <v>153</v>
      </c>
      <c r="O74" s="64">
        <f>'3o TRIMESTRE'!O74</f>
        <v>29693.92</v>
      </c>
      <c r="P74" s="64">
        <f>'3o TRIMESTRE'!P74</f>
        <v>0</v>
      </c>
      <c r="Q74" s="17" t="str">
        <f>'3o TRIMESTRE'!Q74</f>
        <v>4.4.90.39</v>
      </c>
      <c r="R74" s="64">
        <f>'3o TRIMESTRE'!R74</f>
        <v>302263.89</v>
      </c>
      <c r="S74" s="64"/>
      <c r="T74" s="64">
        <f>'3o TRIMESTRE'!T74+S74</f>
        <v>302263.89</v>
      </c>
      <c r="U74" s="64">
        <f>'3o TRIMESTRE'!U74+S74</f>
        <v>302263.89</v>
      </c>
      <c r="V74" s="19" t="str">
        <f>'3o TRIMESTRE'!V74</f>
        <v>andamento</v>
      </c>
      <c r="W74" s="10">
        <f t="shared" si="4"/>
        <v>0</v>
      </c>
      <c r="X74" s="78"/>
      <c r="Y74" s="33"/>
      <c r="Z74" s="33"/>
      <c r="AA74" s="38" t="str">
        <f t="shared" si="5"/>
        <v>verdadeiro</v>
      </c>
    </row>
    <row r="75" spans="1:27" ht="42.75">
      <c r="A75" s="19" t="str">
        <f>'3o TRIMESTRE'!A75</f>
        <v>CONCORRÊNCIA / nº 014/2021</v>
      </c>
      <c r="B75" s="19" t="str">
        <f>'3o TRIMESTRE'!B75</f>
        <v>CONTRATAÇÃO DE EMPRESA DE ENGENHARIA, ESPECIALIZADA EM ILUMINAÇÃO PÚBLICA, PARA FORNECIMENTO E INSTALAÇÃO DE LUMINÁRIAS COM TECNOLOGIA LED RGB E REDE ELÉTRICA, PARA ILUMINAÇÃO CÊNICA DO PARQUE DONA LINDU, BOA VIAGEM</v>
      </c>
      <c r="C75" s="19" t="s">
        <v>154</v>
      </c>
      <c r="D75" s="19" t="str">
        <f>'3o TRIMESTRE'!D75</f>
        <v>FINISA</v>
      </c>
      <c r="E75" s="64">
        <f>'3o TRIMESTRE'!E75+15823300.23</f>
        <v>65823300.230000004</v>
      </c>
      <c r="F75" s="64">
        <f>'3o TRIMESTRE'!F75</f>
        <v>0</v>
      </c>
      <c r="G75" s="19" t="str">
        <f>'3o TRIMESTRE'!G75</f>
        <v>03.834.750/0001-57</v>
      </c>
      <c r="H75" s="19" t="str">
        <f>'3o TRIMESTRE'!H75</f>
        <v>EIP SERVICOS DE ILUMINACAO LTDA</v>
      </c>
      <c r="I75" s="17" t="str">
        <f>'3o TRIMESTRE'!I75</f>
        <v>6-001/22</v>
      </c>
      <c r="J75" s="32">
        <f>'3o TRIMESTRE'!J75</f>
        <v>44599</v>
      </c>
      <c r="K75" s="17">
        <f>'3o TRIMESTRE'!K75</f>
        <v>150</v>
      </c>
      <c r="L75" s="64">
        <f>'3o TRIMESTRE'!L75</f>
        <v>2245061.82</v>
      </c>
      <c r="M75" s="32">
        <f t="shared" si="3"/>
        <v>44899</v>
      </c>
      <c r="N75" s="17">
        <f>'3o TRIMESTRE'!N75</f>
        <v>150</v>
      </c>
      <c r="O75" s="64">
        <f>'3o TRIMESTRE'!O75</f>
        <v>0</v>
      </c>
      <c r="P75" s="64">
        <f>'3o TRIMESTRE'!P75</f>
        <v>0</v>
      </c>
      <c r="Q75" s="17" t="str">
        <f>'3o TRIMESTRE'!Q75</f>
        <v>4.4.90.39</v>
      </c>
      <c r="R75" s="64">
        <f>'3o TRIMESTRE'!R75</f>
        <v>2216701.46</v>
      </c>
      <c r="S75" s="64"/>
      <c r="T75" s="64">
        <f>'3o TRIMESTRE'!T75+S75</f>
        <v>1815857.81</v>
      </c>
      <c r="U75" s="64">
        <f>'3o TRIMESTRE'!U75+S75</f>
        <v>1815857.81</v>
      </c>
      <c r="V75" s="19" t="str">
        <f>'3o TRIMESTRE'!V75</f>
        <v>andamento</v>
      </c>
      <c r="W75" s="10">
        <f t="shared" si="4"/>
        <v>-400843.6499999999</v>
      </c>
      <c r="X75" s="78"/>
      <c r="Y75" s="33"/>
      <c r="Z75" s="33"/>
      <c r="AA75" s="38" t="str">
        <f t="shared" si="5"/>
        <v>verdadeiro</v>
      </c>
    </row>
    <row r="76" spans="1:27" ht="31.5">
      <c r="A76" s="19" t="str">
        <f>'3o TRIMESTRE'!A76</f>
        <v>CONCORRÊNCIA / nº 012/2021</v>
      </c>
      <c r="B76" s="19" t="str">
        <f>'3o TRIMESTRE'!B76</f>
        <v>CONTRATAÇÃO DE EMPRESA DE ENGENHARIA, ESPECIALIZADA EM ILUMINAÇÃO PÚBLICA, PARA SERVIÇOS DE APOIO TÉCNICO PARA CIDADE DO RECIFE.</v>
      </c>
      <c r="C76" s="19" t="s">
        <v>154</v>
      </c>
      <c r="D76" s="19">
        <f>'3o TRIMESTRE'!D76</f>
        <v>0</v>
      </c>
      <c r="E76" s="64">
        <f>'3o TRIMESTRE'!E76+15823300.23</f>
        <v>15823300.23</v>
      </c>
      <c r="F76" s="64">
        <f>'3o TRIMESTRE'!F76</f>
        <v>0</v>
      </c>
      <c r="G76" s="19" t="str">
        <f>'3o TRIMESTRE'!G76</f>
        <v>03.834.750/0001-57</v>
      </c>
      <c r="H76" s="19" t="str">
        <f>'3o TRIMESTRE'!H76</f>
        <v>EIP SERVICOS DE ILUMINACAO LTDA</v>
      </c>
      <c r="I76" s="17" t="str">
        <f>'3o TRIMESTRE'!I76</f>
        <v>6-002/22</v>
      </c>
      <c r="J76" s="32">
        <f>'3o TRIMESTRE'!J76</f>
        <v>44589</v>
      </c>
      <c r="K76" s="17">
        <f>'3o TRIMESTRE'!K76</f>
        <v>760</v>
      </c>
      <c r="L76" s="64">
        <f>'3o TRIMESTRE'!L76</f>
        <v>1418802</v>
      </c>
      <c r="M76" s="32">
        <f t="shared" si="3"/>
        <v>45349</v>
      </c>
      <c r="N76" s="17">
        <f>'3o TRIMESTRE'!N76</f>
        <v>0</v>
      </c>
      <c r="O76" s="64">
        <f>'3o TRIMESTRE'!O76</f>
        <v>130967.16</v>
      </c>
      <c r="P76" s="64">
        <f>'3o TRIMESTRE'!P76</f>
        <v>0</v>
      </c>
      <c r="Q76" s="17" t="str">
        <f>'3o TRIMESTRE'!Q76</f>
        <v>3.3.90.39</v>
      </c>
      <c r="R76" s="64">
        <f>'3o TRIMESTRE'!R76</f>
        <v>547826.9</v>
      </c>
      <c r="S76" s="64"/>
      <c r="T76" s="64">
        <f>'3o TRIMESTRE'!T76+S76</f>
        <v>547826.9</v>
      </c>
      <c r="U76" s="64">
        <f>'3o TRIMESTRE'!U76+S76</f>
        <v>547826.9</v>
      </c>
      <c r="V76" s="19" t="str">
        <f>'3o TRIMESTRE'!V76</f>
        <v>andamento</v>
      </c>
      <c r="W76" s="10">
        <f t="shared" si="4"/>
        <v>0</v>
      </c>
      <c r="X76" s="78"/>
      <c r="Y76" s="33"/>
      <c r="Z76" s="33"/>
      <c r="AA76" s="38" t="str">
        <f t="shared" si="5"/>
        <v>verdadeiro</v>
      </c>
    </row>
    <row r="77" spans="1:27" ht="42.75">
      <c r="A77" s="19" t="str">
        <f>'3o TRIMESTRE'!A77</f>
        <v>CONCORRÊNCIA / nº 008/2021</v>
      </c>
      <c r="B77" s="19" t="str">
        <f>'3o TRIMESTRE'!B77</f>
        <v>CONTRATAÇÃO DE EMPRESA DE ENGENHARIA, ESPECIALIZADA EM ILUMINAÇÃO PÚBLICA, PARA EXECUÇÃO DA MANUTENÇÃO, PREVENTIVA E CORRETIVA, DO SISTEMA DE ILUMINAÇÃO CÊNICA DA CIDADE DO RECIFE</v>
      </c>
      <c r="C77" s="19">
        <v>0</v>
      </c>
      <c r="D77" s="19" t="str">
        <f>'3o TRIMESTRE'!D77</f>
        <v>FINISA</v>
      </c>
      <c r="E77" s="64">
        <f>'3o TRIMESTRE'!E77</f>
        <v>50000000</v>
      </c>
      <c r="F77" s="64">
        <f>'3o TRIMESTRE'!F77</f>
        <v>0</v>
      </c>
      <c r="G77" s="19" t="str">
        <f>'3o TRIMESTRE'!G77</f>
        <v>03.834.750/0001-57</v>
      </c>
      <c r="H77" s="19" t="str">
        <f>'3o TRIMESTRE'!H77</f>
        <v>EIP SERVICOS DE ILUMINACAO LTDA</v>
      </c>
      <c r="I77" s="17" t="str">
        <f>'3o TRIMESTRE'!I77</f>
        <v>6-003/22</v>
      </c>
      <c r="J77" s="32">
        <f>'3o TRIMESTRE'!J77</f>
        <v>44589</v>
      </c>
      <c r="K77" s="17">
        <f>'3o TRIMESTRE'!K77</f>
        <v>760</v>
      </c>
      <c r="L77" s="64">
        <f>'3o TRIMESTRE'!L77</f>
        <v>3730846.67</v>
      </c>
      <c r="M77" s="32">
        <f t="shared" si="3"/>
        <v>45349</v>
      </c>
      <c r="N77" s="17">
        <f>'3o TRIMESTRE'!N77</f>
        <v>0</v>
      </c>
      <c r="O77" s="64">
        <f>'3o TRIMESTRE'!O77+82719.18</f>
        <v>833606.23</v>
      </c>
      <c r="P77" s="64">
        <f>'3o TRIMESTRE'!P77</f>
        <v>0</v>
      </c>
      <c r="Q77" s="17" t="str">
        <f>'3o TRIMESTRE'!Q77</f>
        <v>4.4.90.39</v>
      </c>
      <c r="R77" s="64">
        <f>'3o TRIMESTRE'!R77+140193.8</f>
        <v>1505109.78</v>
      </c>
      <c r="S77" s="64"/>
      <c r="T77" s="64">
        <f>'3o TRIMESTRE'!T77+S77</f>
        <v>1364915.98</v>
      </c>
      <c r="U77" s="64">
        <f>'3o TRIMESTRE'!U77+S77</f>
        <v>1364915.98</v>
      </c>
      <c r="V77" s="19" t="str">
        <f>'3o TRIMESTRE'!V77</f>
        <v>andamento</v>
      </c>
      <c r="W77" s="10">
        <f t="shared" si="4"/>
        <v>-140193.80000000005</v>
      </c>
      <c r="X77" s="78"/>
      <c r="Y77" s="33"/>
      <c r="Z77" s="33"/>
      <c r="AA77" s="38" t="str">
        <f t="shared" si="5"/>
        <v>verdadeiro</v>
      </c>
    </row>
    <row r="78" spans="1:27" ht="31.5">
      <c r="A78" s="19" t="str">
        <f>'3o TRIMESTRE'!A78</f>
        <v>Pregão Eletrônico Licitação: 037/2021</v>
      </c>
      <c r="B78" s="19" t="str">
        <f>'3o TRIMESTRE'!B78</f>
        <v>SERVIÇOS DE INFRAESTURURA PARA IMPLANTAÇÃO DO MEMORIAL JUDAICO EM HONRA AO POVO JUDEU, NA PRAÇA TIRADENTES BAIRRO DO RECIFE, RECIFE - PE</v>
      </c>
      <c r="C78" s="19">
        <v>0</v>
      </c>
      <c r="D78" s="19">
        <f>'3o TRIMESTRE'!D78</f>
        <v>0</v>
      </c>
      <c r="E78" s="64">
        <f>'3o TRIMESTRE'!E78</f>
        <v>0</v>
      </c>
      <c r="F78" s="64">
        <f>'3o TRIMESTRE'!F78</f>
        <v>0</v>
      </c>
      <c r="G78" s="19" t="str">
        <f>'3o TRIMESTRE'!G78</f>
        <v>22.257.930/0001-68</v>
      </c>
      <c r="H78" s="19" t="str">
        <f>'3o TRIMESTRE'!H78</f>
        <v>G O DOS SANTOS CONSTRUCOES EIRELI</v>
      </c>
      <c r="I78" s="17" t="str">
        <f>'3o TRIMESTRE'!I78</f>
        <v>6-004/22</v>
      </c>
      <c r="J78" s="32">
        <f>'3o TRIMESTRE'!J78</f>
        <v>44602</v>
      </c>
      <c r="K78" s="17">
        <f>'3o TRIMESTRE'!K78</f>
        <v>165</v>
      </c>
      <c r="L78" s="64">
        <f>'3o TRIMESTRE'!L78</f>
        <v>119999.98</v>
      </c>
      <c r="M78" s="32">
        <f t="shared" si="3"/>
        <v>44812</v>
      </c>
      <c r="N78" s="17">
        <f>'3o TRIMESTRE'!N78</f>
        <v>45</v>
      </c>
      <c r="O78" s="64">
        <f>'3o TRIMESTRE'!O78</f>
        <v>0</v>
      </c>
      <c r="P78" s="64">
        <f>'3o TRIMESTRE'!P78</f>
        <v>0</v>
      </c>
      <c r="Q78" s="17" t="str">
        <f>'3o TRIMESTRE'!Q78</f>
        <v>4.4.90.39</v>
      </c>
      <c r="R78" s="64">
        <f>'3o TRIMESTRE'!R78+228370.4</f>
        <v>315157.76</v>
      </c>
      <c r="S78" s="64"/>
      <c r="T78" s="64">
        <f>'3o TRIMESTRE'!T78+S78</f>
        <v>86787.36</v>
      </c>
      <c r="U78" s="64">
        <f>'3o TRIMESTRE'!U78+S78</f>
        <v>86787.36</v>
      </c>
      <c r="V78" s="19" t="str">
        <f>'3o TRIMESTRE'!V78</f>
        <v>encerrado</v>
      </c>
      <c r="W78" s="10">
        <f t="shared" si="4"/>
        <v>-228370.40000000002</v>
      </c>
      <c r="X78" s="78">
        <v>57116.64</v>
      </c>
      <c r="Y78" s="33">
        <f>W78+X78</f>
        <v>-171253.76</v>
      </c>
      <c r="Z78" s="33"/>
      <c r="AA78" s="38" t="str">
        <f t="shared" si="5"/>
        <v>verdadeiro</v>
      </c>
    </row>
    <row r="79" spans="1:27" ht="53.25">
      <c r="A79" s="19" t="str">
        <f>'3o TRIMESTRE'!A79</f>
        <v>Tomada de Preço Licitação: 009/2021</v>
      </c>
      <c r="B79" s="19" t="str">
        <f>'3o TRIMESTRE'!B79</f>
        <v>SERVIÇOS DE REFORMA DE DIVERSOS PRÉDIOS PÚBLICOS MANTIDOS PELA EMLURB: LOTE 01 DLU E GOFIS DA RPA 01 E RPA 06, LOTE 02 DIVERSOS BANHEIROS PÚBLICOS, SEDE DA EMLURB E LABORATÓRIO. LOCALIZADOS EM DIVERSOS BAIRROS DA CIDADE DO RECIFE PE</v>
      </c>
      <c r="C79" s="19">
        <v>0</v>
      </c>
      <c r="D79" s="19">
        <f>'3o TRIMESTRE'!D79</f>
        <v>0</v>
      </c>
      <c r="E79" s="64">
        <f>'3o TRIMESTRE'!E79</f>
        <v>0</v>
      </c>
      <c r="F79" s="64">
        <f>'3o TRIMESTRE'!F79</f>
        <v>0</v>
      </c>
      <c r="G79" s="19" t="str">
        <f>'3o TRIMESTRE'!G79</f>
        <v>30.700.985/0001-29</v>
      </c>
      <c r="H79" s="19" t="str">
        <f>'3o TRIMESTRE'!H79</f>
        <v>CONSTRUTORA MANASSU LTDA</v>
      </c>
      <c r="I79" s="17" t="str">
        <f>'3o TRIMESTRE'!I79</f>
        <v>6-005/22</v>
      </c>
      <c r="J79" s="32">
        <f>'3o TRIMESTRE'!J79</f>
        <v>44606</v>
      </c>
      <c r="K79" s="17">
        <f>'3o TRIMESTRE'!K79</f>
        <v>270</v>
      </c>
      <c r="L79" s="64">
        <f>'3o TRIMESTRE'!L79</f>
        <v>493303.08</v>
      </c>
      <c r="M79" s="32">
        <f t="shared" si="3"/>
        <v>44876</v>
      </c>
      <c r="N79" s="17">
        <f>'3o TRIMESTRE'!N79</f>
        <v>0</v>
      </c>
      <c r="O79" s="64">
        <f>'3o TRIMESTRE'!O79</f>
        <v>0</v>
      </c>
      <c r="P79" s="64">
        <f>'3o TRIMESTRE'!P79</f>
        <v>0</v>
      </c>
      <c r="Q79" s="17" t="str">
        <f>'3o TRIMESTRE'!Q79</f>
        <v>4.4.90.39</v>
      </c>
      <c r="R79" s="64">
        <f>'3o TRIMESTRE'!R79</f>
        <v>286070.39</v>
      </c>
      <c r="S79" s="64"/>
      <c r="T79" s="64">
        <f>'3o TRIMESTRE'!T79+S79</f>
        <v>250562.93</v>
      </c>
      <c r="U79" s="64">
        <f>'3o TRIMESTRE'!U79+S79</f>
        <v>250562.93</v>
      </c>
      <c r="V79" s="19" t="str">
        <f>'3o TRIMESTRE'!V79</f>
        <v>andamento</v>
      </c>
      <c r="W79" s="10">
        <f t="shared" si="4"/>
        <v>-35507.46000000002</v>
      </c>
      <c r="X79" s="78"/>
      <c r="Y79" s="33"/>
      <c r="Z79" s="33"/>
      <c r="AA79" s="38" t="str">
        <f t="shared" si="5"/>
        <v>verdadeiro</v>
      </c>
    </row>
    <row r="80" spans="1:27" ht="53.25">
      <c r="A80" s="19" t="str">
        <f>'3o TRIMESTRE'!A80</f>
        <v>CREDENCIAMENTO Licitação: 001/2021</v>
      </c>
      <c r="B80" s="19" t="str">
        <f>'3o TRIMESTRE'!B80</f>
        <v>CREDENCIAMENTO DE EMPRESA ESPECIALIZADA EM ENGENHARIA SANITÁRIA PARA RECOLHIMENTO, TRATAMENTO E DISPOSIÇÃO FINAL AMBIENTALMENTE CORRETO DE LÍQUIDOS ORIUNDOS DO ATERRO DESATIVADO DA MURIBECA SOB RESPONSABILIDADE DA EMLURB</v>
      </c>
      <c r="C80" s="19" t="s">
        <v>154</v>
      </c>
      <c r="D80" s="19">
        <f>'3o TRIMESTRE'!D80</f>
        <v>0</v>
      </c>
      <c r="E80" s="64">
        <f>'3o TRIMESTRE'!E80+15823300.23</f>
        <v>15823300.23</v>
      </c>
      <c r="F80" s="64">
        <f>'3o TRIMESTRE'!F80</f>
        <v>0</v>
      </c>
      <c r="G80" s="19" t="str">
        <f>'3o TRIMESTRE'!G80</f>
        <v>08.165.091/0002-08</v>
      </c>
      <c r="H80" s="19" t="str">
        <f>'3o TRIMESTRE'!H80</f>
        <v>ECOPESA AMBIENTAL S/A                   </v>
      </c>
      <c r="I80" s="17" t="str">
        <f>'3o TRIMESTRE'!I80</f>
        <v>6-006/22</v>
      </c>
      <c r="J80" s="32">
        <f>'3o TRIMESTRE'!J80</f>
        <v>44606</v>
      </c>
      <c r="K80" s="17">
        <f>'3o TRIMESTRE'!K80</f>
        <v>395</v>
      </c>
      <c r="L80" s="64">
        <f>'3o TRIMESTRE'!L80</f>
        <v>1392960</v>
      </c>
      <c r="M80" s="32">
        <f t="shared" si="3"/>
        <v>45001</v>
      </c>
      <c r="N80" s="17">
        <f>'3o TRIMESTRE'!N80</f>
        <v>0</v>
      </c>
      <c r="O80" s="64">
        <f>'3o TRIMESTRE'!O80</f>
        <v>348240</v>
      </c>
      <c r="P80" s="64">
        <f>'3o TRIMESTRE'!P80</f>
        <v>0</v>
      </c>
      <c r="Q80" s="17" t="str">
        <f>'3o TRIMESTRE'!Q80</f>
        <v>3.3.90.39</v>
      </c>
      <c r="R80" s="64">
        <f>'3o TRIMESTRE'!R80+231069.47</f>
        <v>1972269.47</v>
      </c>
      <c r="S80" s="64"/>
      <c r="T80" s="64">
        <f>'3o TRIMESTRE'!T80+S80</f>
        <v>775008.1200000001</v>
      </c>
      <c r="U80" s="64">
        <f>'3o TRIMESTRE'!U80+S80</f>
        <v>775008.1200000001</v>
      </c>
      <c r="V80" s="19" t="str">
        <f>'3o TRIMESTRE'!V80</f>
        <v>andamento</v>
      </c>
      <c r="W80" s="10">
        <f t="shared" si="4"/>
        <v>-1197261.3499999999</v>
      </c>
      <c r="X80" s="78"/>
      <c r="Y80" s="33"/>
      <c r="Z80" s="33"/>
      <c r="AA80" s="38" t="str">
        <f t="shared" si="5"/>
        <v>verdadeiro</v>
      </c>
    </row>
    <row r="81" spans="1:27" ht="42.75">
      <c r="A81" s="19" t="str">
        <f>'3o TRIMESTRE'!A81</f>
        <v>Tomada de Preço Licitação: 011/2021</v>
      </c>
      <c r="B81" s="19" t="str">
        <f>'3o TRIMESTRE'!B81</f>
        <v>CONTRATAÇÃO DE EMPRESA DE ENGENHARIA, ESPECIALIZADA EM ILUMINAÇÃO PÚBLICA, PARA FORNECIMENTO DE LUMINÁRIAS COM TECNOLOGIA LED RGB E REDE ELÉTRICA, PARA ILUMINAÇÃO CÊNICA DA PASSARELA JOANA BEZERRA.</v>
      </c>
      <c r="C81" s="19" t="s">
        <v>154</v>
      </c>
      <c r="D81" s="19" t="str">
        <f>'3o TRIMESTRE'!D81</f>
        <v>FINISA</v>
      </c>
      <c r="E81" s="64">
        <f>'3o TRIMESTRE'!E81+15823300.23</f>
        <v>65823300.230000004</v>
      </c>
      <c r="F81" s="64">
        <f>'3o TRIMESTRE'!F81</f>
        <v>0</v>
      </c>
      <c r="G81" s="19" t="str">
        <f>'3o TRIMESTRE'!G81</f>
        <v>01.346.561/0001-00</v>
      </c>
      <c r="H81" s="19" t="str">
        <f>'3o TRIMESTRE'!H81</f>
        <v>VASCONCELOS E SANTOS LTDA</v>
      </c>
      <c r="I81" s="17" t="str">
        <f>'3o TRIMESTRE'!I81</f>
        <v>6-007/22</v>
      </c>
      <c r="J81" s="32">
        <f>'3o TRIMESTRE'!J81</f>
        <v>44610</v>
      </c>
      <c r="K81" s="17">
        <f>'3o TRIMESTRE'!K81</f>
        <v>150</v>
      </c>
      <c r="L81" s="64">
        <f>'3o TRIMESTRE'!L81</f>
        <v>811940.61</v>
      </c>
      <c r="M81" s="32">
        <f t="shared" si="3"/>
        <v>44956</v>
      </c>
      <c r="N81" s="17">
        <f>'3o TRIMESTRE'!N81</f>
        <v>196</v>
      </c>
      <c r="O81" s="64">
        <f>'3o TRIMESTRE'!O81+50879.67</f>
        <v>50879.67</v>
      </c>
      <c r="P81" s="64">
        <f>'3o TRIMESTRE'!P81</f>
        <v>0</v>
      </c>
      <c r="Q81" s="17" t="str">
        <f>'3o TRIMESTRE'!Q81</f>
        <v>4.4.90.39</v>
      </c>
      <c r="R81" s="64">
        <f>'3o TRIMESTRE'!R81+66157.26</f>
        <v>260266.71000000002</v>
      </c>
      <c r="S81" s="64"/>
      <c r="T81" s="64">
        <f>'3o TRIMESTRE'!T81+S81</f>
        <v>0</v>
      </c>
      <c r="U81" s="64">
        <f>'3o TRIMESTRE'!U81+S81</f>
        <v>0</v>
      </c>
      <c r="V81" s="19" t="s">
        <v>188</v>
      </c>
      <c r="W81" s="10">
        <f t="shared" si="4"/>
        <v>-260266.71000000002</v>
      </c>
      <c r="X81" s="78"/>
      <c r="Y81" s="33"/>
      <c r="Z81" s="33"/>
      <c r="AA81" s="38" t="str">
        <f t="shared" si="5"/>
        <v>verdadeiro</v>
      </c>
    </row>
    <row r="82" spans="1:27" ht="31.5">
      <c r="A82" s="19" t="str">
        <f>'3o TRIMESTRE'!A82</f>
        <v>CONCORRÊNCIA / nº 017/2021</v>
      </c>
      <c r="B82" s="19" t="str">
        <f>'3o TRIMESTRE'!B82</f>
        <v>IMPLANTAÇÃO DE TRECHO DE DRENAGEM DA RUA VINTE E UM DE ABRIL COM A RUA LÍDIA GUIMARÃES, EM AFOGADOS RECIE-PE</v>
      </c>
      <c r="C82" s="19">
        <v>0</v>
      </c>
      <c r="D82" s="19">
        <f>'3o TRIMESTRE'!D82</f>
        <v>0</v>
      </c>
      <c r="E82" s="64">
        <f>'3o TRIMESTRE'!E82</f>
        <v>0</v>
      </c>
      <c r="F82" s="64">
        <f>'3o TRIMESTRE'!F82</f>
        <v>0</v>
      </c>
      <c r="G82" s="19" t="str">
        <f>'3o TRIMESTRE'!G82</f>
        <v>10.893.105/0001-70</v>
      </c>
      <c r="H82" s="19" t="str">
        <f>'3o TRIMESTRE'!H82</f>
        <v>AGILIS CONSTRUTORA LTDA</v>
      </c>
      <c r="I82" s="17" t="str">
        <f>'3o TRIMESTRE'!I82</f>
        <v>6-008/22</v>
      </c>
      <c r="J82" s="32">
        <f>'3o TRIMESTRE'!J82</f>
        <v>44615</v>
      </c>
      <c r="K82" s="17">
        <f>'3o TRIMESTRE'!K82</f>
        <v>180</v>
      </c>
      <c r="L82" s="64">
        <f>'3o TRIMESTRE'!L82</f>
        <v>477968.09</v>
      </c>
      <c r="M82" s="32">
        <f t="shared" si="3"/>
        <v>44795</v>
      </c>
      <c r="N82" s="17">
        <f>'3o TRIMESTRE'!N82</f>
        <v>0</v>
      </c>
      <c r="O82" s="64">
        <f>'3o TRIMESTRE'!O82</f>
        <v>54720.49</v>
      </c>
      <c r="P82" s="64">
        <f>'3o TRIMESTRE'!P82</f>
        <v>0</v>
      </c>
      <c r="Q82" s="17" t="str">
        <f>'3o TRIMESTRE'!Q82</f>
        <v>4.4.90.39</v>
      </c>
      <c r="R82" s="64">
        <f>'3o TRIMESTRE'!R82+1836737.25</f>
        <v>2334475.8200000003</v>
      </c>
      <c r="S82" s="64"/>
      <c r="T82" s="64">
        <f>'3o TRIMESTRE'!T82+S82</f>
        <v>497738.57000000007</v>
      </c>
      <c r="U82" s="64">
        <f>'3o TRIMESTRE'!U82+S82</f>
        <v>497738.57000000007</v>
      </c>
      <c r="V82" s="19" t="str">
        <f>'3o TRIMESTRE'!V82</f>
        <v>encerrado</v>
      </c>
      <c r="W82" s="10">
        <f t="shared" si="4"/>
        <v>-1836737.2500000002</v>
      </c>
      <c r="X82" s="83">
        <v>97853.63</v>
      </c>
      <c r="Y82" s="33">
        <f>W82+X82</f>
        <v>-1738883.62</v>
      </c>
      <c r="Z82" s="33" t="s">
        <v>267</v>
      </c>
      <c r="AA82" s="38" t="str">
        <f t="shared" si="5"/>
        <v>verdadeiro</v>
      </c>
    </row>
    <row r="83" spans="1:27" ht="53.25">
      <c r="A83" s="19" t="str">
        <f>'3o TRIMESTRE'!A83</f>
        <v>CONCORRÊNCIA / nº 018/2021</v>
      </c>
      <c r="B83" s="19" t="str">
        <f>'3o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19">
        <v>0</v>
      </c>
      <c r="D83" s="19" t="str">
        <f>'3o TRIMESTRE'!D83</f>
        <v>Emenda Parlamentar Federal</v>
      </c>
      <c r="E83" s="64">
        <f>'3o TRIMESTRE'!E83</f>
        <v>767341</v>
      </c>
      <c r="F83" s="64">
        <f>'3o TRIMESTRE'!F83</f>
        <v>8000</v>
      </c>
      <c r="G83" s="19" t="str">
        <f>'3o TRIMESTRE'!G83</f>
        <v>10.893.105/0001-70</v>
      </c>
      <c r="H83" s="19" t="str">
        <f>'3o TRIMESTRE'!H83</f>
        <v>AGILIS CONSTRUTORA LTDA</v>
      </c>
      <c r="I83" s="17" t="str">
        <f>'3o TRIMESTRE'!I83</f>
        <v>6-009/22</v>
      </c>
      <c r="J83" s="32">
        <f>'3o TRIMESTRE'!J83</f>
        <v>44630</v>
      </c>
      <c r="K83" s="17">
        <f>'3o TRIMESTRE'!K83</f>
        <v>180</v>
      </c>
      <c r="L83" s="64">
        <f>'3o TRIMESTRE'!L83</f>
        <v>730428.03</v>
      </c>
      <c r="M83" s="32">
        <f t="shared" si="3"/>
        <v>44870</v>
      </c>
      <c r="N83" s="17">
        <f>'3o TRIMESTRE'!N83</f>
        <v>60</v>
      </c>
      <c r="O83" s="64">
        <f>'3o TRIMESTRE'!O83</f>
        <v>0</v>
      </c>
      <c r="P83" s="64">
        <f>'3o TRIMESTRE'!P83</f>
        <v>0</v>
      </c>
      <c r="Q83" s="17" t="str">
        <f>'3o TRIMESTRE'!Q83</f>
        <v>4.4.90.39</v>
      </c>
      <c r="R83" s="64">
        <f>'3o TRIMESTRE'!R83</f>
        <v>0</v>
      </c>
      <c r="S83" s="64"/>
      <c r="T83" s="64">
        <f>'3o TRIMESTRE'!T83+S83</f>
        <v>0</v>
      </c>
      <c r="U83" s="64">
        <f>'3o TRIMESTRE'!U83+S83</f>
        <v>0</v>
      </c>
      <c r="V83" s="19" t="str">
        <f>'3o TRIMESTRE'!V83</f>
        <v>andamento</v>
      </c>
      <c r="W83" s="10">
        <f t="shared" si="4"/>
        <v>0</v>
      </c>
      <c r="X83" s="78"/>
      <c r="Y83" s="33"/>
      <c r="Z83" s="33"/>
      <c r="AA83" s="38" t="str">
        <f t="shared" si="5"/>
        <v>verdadeiro</v>
      </c>
    </row>
    <row r="84" spans="1:27" ht="42.75">
      <c r="A84" s="19" t="str">
        <f>'3o TRIMESTRE'!A84</f>
        <v>Pregão Eletrônico Licitação: 002/2022</v>
      </c>
      <c r="B84" s="19" t="str">
        <f>'3o TRIMESTRE'!B84</f>
        <v>CONTRATAÇÃO DE PESSOA S JURÍDICA S ESPECIALIZADA EM ENGENHARIA SANITÁRIA PARA RECEBIMENTO, TRATAMENTO E DISPOSIÇÃO FINAL DE RESÍDUOS DE CONSTRUÇÃO RCC CLASSE A INERTE COLETADOS PELA EMLURB NO MUNICÍPIO DO RECIFE</v>
      </c>
      <c r="C84" s="19">
        <v>0</v>
      </c>
      <c r="D84" s="19">
        <f>'3o TRIMESTRE'!D84</f>
        <v>0</v>
      </c>
      <c r="E84" s="64">
        <f>'3o TRIMESTRE'!E84</f>
        <v>0</v>
      </c>
      <c r="F84" s="64">
        <f>'3o TRIMESTRE'!F84</f>
        <v>0</v>
      </c>
      <c r="G84" s="19" t="str">
        <f>'3o TRIMESTRE'!G84</f>
        <v>10.877.732/0001-18</v>
      </c>
      <c r="H84" s="19" t="str">
        <f>'3o TRIMESTRE'!H84</f>
        <v>CICLO AMBIENTAL LTDA</v>
      </c>
      <c r="I84" s="17" t="str">
        <f>'3o TRIMESTRE'!I84</f>
        <v>6-012/22</v>
      </c>
      <c r="J84" s="32">
        <f>'3o TRIMESTRE'!J84</f>
        <v>44635</v>
      </c>
      <c r="K84" s="17">
        <f>'3o TRIMESTRE'!K84</f>
        <v>1890</v>
      </c>
      <c r="L84" s="64">
        <f>'3o TRIMESTRE'!L84</f>
        <v>28992600</v>
      </c>
      <c r="M84" s="32">
        <f t="shared" si="3"/>
        <v>46615</v>
      </c>
      <c r="N84" s="17">
        <f>'3o TRIMESTRE'!N84+90</f>
        <v>90</v>
      </c>
      <c r="O84" s="64">
        <f>'3o TRIMESTRE'!O84</f>
        <v>0</v>
      </c>
      <c r="P84" s="64">
        <f>'3o TRIMESTRE'!P84</f>
        <v>0</v>
      </c>
      <c r="Q84" s="17" t="str">
        <f>'3o TRIMESTRE'!Q84</f>
        <v>3.3.90.39</v>
      </c>
      <c r="R84" s="64">
        <f>'3o TRIMESTRE'!R84+450810.94</f>
        <v>2760169.98</v>
      </c>
      <c r="S84" s="64"/>
      <c r="T84" s="64">
        <f>'3o TRIMESTRE'!T84+S84</f>
        <v>2309359.04</v>
      </c>
      <c r="U84" s="64">
        <f>'3o TRIMESTRE'!U84+S84</f>
        <v>2309359.04</v>
      </c>
      <c r="V84" s="19" t="str">
        <f>'3o TRIMESTRE'!V84</f>
        <v>andamento</v>
      </c>
      <c r="W84" s="10">
        <f t="shared" si="4"/>
        <v>-450810.93999999994</v>
      </c>
      <c r="X84" s="78"/>
      <c r="Y84" s="33"/>
      <c r="Z84" s="33"/>
      <c r="AA84" s="38" t="str">
        <f t="shared" si="5"/>
        <v>verdadeiro</v>
      </c>
    </row>
    <row r="85" spans="1:27" ht="53.25">
      <c r="A85" s="19" t="str">
        <f>'3o TRIMESTRE'!A85</f>
        <v>CONCORRÊNCIA / nº 018/2021</v>
      </c>
      <c r="B85" s="19" t="str">
        <f>'3o TRIMESTRE'!B85</f>
        <v>CONTRATAÇÃO DE EMPRESA ESPCIALIZADA NO RAMO DE ENGENHARIA PARA EXECUÇÃO DOS SERVIÇOS DE RECUPERAÇÃO DE REDE DE DRENAGEM E PAVIMENTAÇÃO DA RUA ACAJUTIBA, NO TRECHO ENTRE AS RUAS GÁLIA E PINTO FERREIRA, LOCALIZADAS NO BAIRRO DE BONGI, RECIFE - PE</v>
      </c>
      <c r="C85" s="19">
        <v>0</v>
      </c>
      <c r="D85" s="19" t="str">
        <f>'3o TRIMESTRE'!D85</f>
        <v>Emenda Parlamentar Federal - TRANSFERÊNCIA  ESPECIAL - FELIPE CARRERA</v>
      </c>
      <c r="E85" s="64">
        <f>'3o TRIMESTRE'!E85</f>
        <v>3139993</v>
      </c>
      <c r="F85" s="64">
        <f>'3o TRIMESTRE'!F85</f>
        <v>0</v>
      </c>
      <c r="G85" s="19" t="str">
        <f>'3o TRIMESTRE'!G85</f>
        <v>03.608.944/0001-34</v>
      </c>
      <c r="H85" s="19" t="str">
        <f>'3o TRIMESTRE'!H85</f>
        <v>JEPAC CONSTRUCOES LTDA</v>
      </c>
      <c r="I85" s="17" t="str">
        <f>'3o TRIMESTRE'!I85</f>
        <v>6-013/22</v>
      </c>
      <c r="J85" s="32">
        <f>'3o TRIMESTRE'!J85</f>
        <v>44650</v>
      </c>
      <c r="K85" s="17">
        <f>'3o TRIMESTRE'!K85</f>
        <v>150</v>
      </c>
      <c r="L85" s="64">
        <f>'3o TRIMESTRE'!L85</f>
        <v>789983.51</v>
      </c>
      <c r="M85" s="32">
        <f t="shared" si="3"/>
        <v>44921</v>
      </c>
      <c r="N85" s="17">
        <f>'3o TRIMESTRE'!N85</f>
        <v>121</v>
      </c>
      <c r="O85" s="64">
        <f>'3o TRIMESTRE'!O85+50912.03</f>
        <v>132779.3</v>
      </c>
      <c r="P85" s="64">
        <f>'3o TRIMESTRE'!P85</f>
        <v>0</v>
      </c>
      <c r="Q85" s="17" t="str">
        <f>'3o TRIMESTRE'!Q85</f>
        <v>4.4.90.39</v>
      </c>
      <c r="R85" s="64">
        <f>'3o TRIMESTRE'!R85+275434.18</f>
        <v>939720.1799999999</v>
      </c>
      <c r="S85" s="64"/>
      <c r="T85" s="64">
        <f>'3o TRIMESTRE'!T85+S85</f>
        <v>664286</v>
      </c>
      <c r="U85" s="64">
        <f>'3o TRIMESTRE'!U85+S85</f>
        <v>664286</v>
      </c>
      <c r="V85" s="19" t="s">
        <v>188</v>
      </c>
      <c r="W85" s="10">
        <f t="shared" si="4"/>
        <v>-275434.17999999993</v>
      </c>
      <c r="X85" s="78"/>
      <c r="Y85" s="33"/>
      <c r="Z85" s="33"/>
      <c r="AA85" s="38" t="str">
        <f t="shared" si="5"/>
        <v>verdadeiro</v>
      </c>
    </row>
    <row r="86" spans="1:27" ht="31.5">
      <c r="A86" s="19" t="str">
        <f>'3o TRIMESTRE'!A86</f>
        <v>CONCORRÊNCIA / nº 001/2021</v>
      </c>
      <c r="B86" s="19" t="str">
        <f>'3o TRIMESTRE'!B86</f>
        <v>CONTRATAÇÃO DE EMPRESA SANITÁRIA ESPECIALIZADA PARA A EXECUÇÃO DOS SERVIÇOS DE COLETA E LIMPEZA URBANA NO MUNICÍPIO DO RECIFE. LOTE 1- A</v>
      </c>
      <c r="C86" s="19">
        <v>0</v>
      </c>
      <c r="D86" s="19">
        <f>'3o TRIMESTRE'!D86</f>
        <v>0</v>
      </c>
      <c r="E86" s="64">
        <f>'3o TRIMESTRE'!E86</f>
        <v>0</v>
      </c>
      <c r="F86" s="64">
        <f>'3o TRIMESTRE'!F86</f>
        <v>0</v>
      </c>
      <c r="G86" s="19" t="str">
        <f>'3o TRIMESTRE'!G86</f>
        <v>02.536.066/0015-21</v>
      </c>
      <c r="H86" s="19" t="str">
        <f>'3o TRIMESTRE'!H86</f>
        <v>VITAL ENGENHARIA AMBIENTAL S/A</v>
      </c>
      <c r="I86" s="17" t="str">
        <f>'3o TRIMESTRE'!I86</f>
        <v>6-014/22</v>
      </c>
      <c r="J86" s="32">
        <f>'3o TRIMESTRE'!J86</f>
        <v>44649</v>
      </c>
      <c r="K86" s="17">
        <f>'3o TRIMESTRE'!K86</f>
        <v>1825</v>
      </c>
      <c r="L86" s="64">
        <f>'3o TRIMESTRE'!L86</f>
        <v>201897816.06</v>
      </c>
      <c r="M86" s="32">
        <f t="shared" si="3"/>
        <v>46474</v>
      </c>
      <c r="N86" s="17">
        <f>'3o TRIMESTRE'!N86</f>
        <v>0</v>
      </c>
      <c r="O86" s="64">
        <f>'3o TRIMESTRE'!O86+107578.46</f>
        <v>107578.46</v>
      </c>
      <c r="P86" s="64">
        <f>'3o TRIMESTRE'!P86</f>
        <v>47481450.66999999</v>
      </c>
      <c r="Q86" s="17" t="str">
        <f>'3o TRIMESTRE'!Q86</f>
        <v>3.3.90.39</v>
      </c>
      <c r="R86" s="64">
        <f>'3o TRIMESTRE'!R86+215156.92</f>
        <v>15344658.28</v>
      </c>
      <c r="S86" s="64"/>
      <c r="T86" s="64">
        <f>'3o TRIMESTRE'!T86+S86</f>
        <v>15129501.36</v>
      </c>
      <c r="U86" s="64">
        <f>'3o TRIMESTRE'!U86+S86</f>
        <v>15129501.36</v>
      </c>
      <c r="V86" s="19" t="s">
        <v>188</v>
      </c>
      <c r="W86" s="10">
        <f t="shared" si="4"/>
        <v>-215156.91999999993</v>
      </c>
      <c r="X86" s="78"/>
      <c r="Y86" s="33"/>
      <c r="Z86" s="33"/>
      <c r="AA86" s="38" t="str">
        <f t="shared" si="5"/>
        <v>verdadeiro</v>
      </c>
    </row>
    <row r="87" spans="1:27" ht="31.5">
      <c r="A87" s="19" t="str">
        <f>'3o TRIMESTRE'!A87</f>
        <v>CONCORRÊNCIA / nº 001/2021</v>
      </c>
      <c r="B87" s="19" t="str">
        <f>'3o TRIMESTRE'!B87</f>
        <v>CONTRATAÇÃO DE EMPRESA SANITÁRIA ESPECIALIZADA PARA A EXECUÇÃO DOS SERVIÇOS DE COLETA E LIMPEZA URBANA NO MUNICÍPIO DO RECIFE. LOTE 1-B</v>
      </c>
      <c r="C87" s="19">
        <v>0</v>
      </c>
      <c r="D87" s="19">
        <f>'3o TRIMESTRE'!D87</f>
        <v>0</v>
      </c>
      <c r="E87" s="64">
        <f>'3o TRIMESTRE'!E87</f>
        <v>0</v>
      </c>
      <c r="F87" s="64">
        <f>'3o TRIMESTRE'!F87</f>
        <v>0</v>
      </c>
      <c r="G87" s="19" t="str">
        <f>'3o TRIMESTRE'!G87</f>
        <v>12.854.865/0001-02</v>
      </c>
      <c r="H87" s="19" t="str">
        <f>'3o TRIMESTRE'!H87</f>
        <v>COELHO DE  ANDRADE ENGENHARIA LTDA</v>
      </c>
      <c r="I87" s="17" t="str">
        <f>'3o TRIMESTRE'!I87</f>
        <v>6-015/22</v>
      </c>
      <c r="J87" s="32">
        <f>'3o TRIMESTRE'!J87</f>
        <v>44649</v>
      </c>
      <c r="K87" s="17">
        <f>'3o TRIMESTRE'!K87</f>
        <v>1825</v>
      </c>
      <c r="L87" s="64">
        <f>'3o TRIMESTRE'!L87</f>
        <v>86512024.75</v>
      </c>
      <c r="M87" s="32">
        <f t="shared" si="3"/>
        <v>46474</v>
      </c>
      <c r="N87" s="17">
        <f>'3o TRIMESTRE'!N87</f>
        <v>0</v>
      </c>
      <c r="O87" s="64">
        <f>'3o TRIMESTRE'!O87</f>
        <v>0</v>
      </c>
      <c r="P87" s="64">
        <f>'3o TRIMESTRE'!P87</f>
        <v>20345696.980000004</v>
      </c>
      <c r="Q87" s="17" t="str">
        <f>'3o TRIMESTRE'!Q87</f>
        <v>3.3.90.39</v>
      </c>
      <c r="R87" s="64">
        <f>'3o TRIMESTRE'!R87+80854.6</f>
        <v>6564829.219999999</v>
      </c>
      <c r="S87" s="64"/>
      <c r="T87" s="64">
        <f>'3o TRIMESTRE'!T87+S87</f>
        <v>6483974.619999999</v>
      </c>
      <c r="U87" s="64">
        <f>'3o TRIMESTRE'!U87+S87</f>
        <v>6483974.619999999</v>
      </c>
      <c r="V87" s="19" t="s">
        <v>188</v>
      </c>
      <c r="W87" s="10">
        <f t="shared" si="4"/>
        <v>-80854.59999999963</v>
      </c>
      <c r="X87" s="78"/>
      <c r="Y87" s="33"/>
      <c r="Z87" s="33"/>
      <c r="AA87" s="38" t="str">
        <f t="shared" si="5"/>
        <v>verdadeiro</v>
      </c>
    </row>
    <row r="88" spans="1:22" ht="31.5">
      <c r="A88" s="19" t="str">
        <f>'3o TRIMESTRE'!A88</f>
        <v>CONCORRÊNCIA / nº 001/2021</v>
      </c>
      <c r="B88" s="19" t="str">
        <f>'3o TRIMESTRE'!B88</f>
        <v>CONTRATAÇÃO DE EMPRESA SANITÁRIA ESPECIALIZADA PARA A EXECUÇÃO DOS SERVIÇOS DE COLETA E LIMPEZA URBANA NO MUNICÍPIO DO RECIFE. LOTE 2- A</v>
      </c>
      <c r="C88" s="19">
        <v>1</v>
      </c>
      <c r="D88" s="19">
        <f>'3o TRIMESTRE'!D88</f>
        <v>0</v>
      </c>
      <c r="E88" s="64">
        <f>'3o TRIMESTRE'!E88</f>
        <v>0</v>
      </c>
      <c r="F88" s="64">
        <f>'3o TRIMESTRE'!F88</f>
        <v>0</v>
      </c>
      <c r="G88" s="19" t="str">
        <f>'3o TRIMESTRE'!G88</f>
        <v>02.536.066/0015-21</v>
      </c>
      <c r="H88" s="19" t="str">
        <f>'3o TRIMESTRE'!H88</f>
        <v>VITAL ENGENHARIA AMBIENTAL S/A</v>
      </c>
      <c r="I88" s="17" t="str">
        <f>'3o TRIMESTRE'!I88</f>
        <v>6-016/22</v>
      </c>
      <c r="J88" s="32">
        <f>'3o TRIMESTRE'!J88</f>
        <v>44649</v>
      </c>
      <c r="K88" s="17">
        <f>'3o TRIMESTRE'!K88</f>
        <v>1825</v>
      </c>
      <c r="L88" s="64">
        <f>'3o TRIMESTRE'!L88</f>
        <v>480063123.51</v>
      </c>
      <c r="M88" s="32">
        <f aca="true" t="shared" si="6" ref="M88:M131">J88+K88+N88</f>
        <v>46474</v>
      </c>
      <c r="N88" s="17">
        <f>'3o TRIMESTRE'!N88</f>
        <v>0</v>
      </c>
      <c r="O88" s="64">
        <f>'3o TRIMESTRE'!O88</f>
        <v>0</v>
      </c>
      <c r="P88" s="64">
        <f>'3o TRIMESTRE'!P88</f>
        <v>112521950.78999996</v>
      </c>
      <c r="Q88" s="17" t="str">
        <f>'3o TRIMESTRE'!Q88</f>
        <v>3.3.90.39</v>
      </c>
      <c r="R88" s="64">
        <f>'3o TRIMESTRE'!R88+80854.6</f>
        <v>41179540.01</v>
      </c>
      <c r="S88" s="64"/>
      <c r="T88" s="64">
        <f>'3o TRIMESTRE'!T88+S88</f>
        <v>41098685.41</v>
      </c>
      <c r="U88" s="64">
        <f>'3o TRIMESTRE'!U88+S88</f>
        <v>41098685.41</v>
      </c>
      <c r="V88" s="19" t="s">
        <v>188</v>
      </c>
    </row>
    <row r="89" spans="1:22" ht="31.5">
      <c r="A89" s="19" t="str">
        <f>'3o TRIMESTRE'!A89</f>
        <v>CONCORRÊNCIA / nº 001/2021</v>
      </c>
      <c r="B89" s="19" t="str">
        <f>'3o TRIMESTRE'!B89</f>
        <v>CONTRATAÇÃO DE EMPRESA SANITÁRIA ESPECIALIZADA PARA A EXECUÇÃO DOS SERVIÇOS DE COLETA E LIMPEZA URBANA NO MUNICÍPIO DO RECIFE. LOTE 2-B</v>
      </c>
      <c r="C89" s="19">
        <v>2</v>
      </c>
      <c r="D89" s="19">
        <f>'3o TRIMESTRE'!D89</f>
        <v>0</v>
      </c>
      <c r="E89" s="64">
        <f>'3o TRIMESTRE'!E89</f>
        <v>0</v>
      </c>
      <c r="F89" s="64">
        <f>'3o TRIMESTRE'!F89</f>
        <v>0</v>
      </c>
      <c r="G89" s="19" t="str">
        <f>'3o TRIMESTRE'!G89</f>
        <v>12.854.865/0001-02</v>
      </c>
      <c r="H89" s="19" t="str">
        <f>'3o TRIMESTRE'!H89</f>
        <v>COELHO DE  ANDRADE ENGENHARIA LTDA</v>
      </c>
      <c r="I89" s="17" t="str">
        <f>'3o TRIMESTRE'!I89</f>
        <v>6-017/22</v>
      </c>
      <c r="J89" s="32">
        <f>'3o TRIMESTRE'!J89</f>
        <v>44649</v>
      </c>
      <c r="K89" s="17">
        <f>'3o TRIMESTRE'!K89</f>
        <v>1825</v>
      </c>
      <c r="L89" s="64">
        <f>'3o TRIMESTRE'!L89</f>
        <v>205730360.58</v>
      </c>
      <c r="M89" s="32">
        <f t="shared" si="6"/>
        <v>46474</v>
      </c>
      <c r="N89" s="17">
        <f>'3o TRIMESTRE'!N89</f>
        <v>0</v>
      </c>
      <c r="O89" s="64">
        <f>'3o TRIMESTRE'!O89</f>
        <v>0</v>
      </c>
      <c r="P89" s="64">
        <f>'3o TRIMESTRE'!P89</f>
        <v>48221861.129999995</v>
      </c>
      <c r="Q89" s="17" t="str">
        <f>'3o TRIMESTRE'!Q89</f>
        <v>3.3.90.39</v>
      </c>
      <c r="R89" s="64">
        <f>'3o TRIMESTRE'!R89+80854.6</f>
        <v>17695092.01</v>
      </c>
      <c r="S89" s="64"/>
      <c r="T89" s="64">
        <f>'3o TRIMESTRE'!T89+S89</f>
        <v>17614237.41</v>
      </c>
      <c r="U89" s="64">
        <f>'3o TRIMESTRE'!U89+S89</f>
        <v>17614237.41</v>
      </c>
      <c r="V89" s="19" t="s">
        <v>188</v>
      </c>
    </row>
    <row r="90" spans="1:22" ht="31.5">
      <c r="A90" s="19" t="str">
        <f>'3o TRIMESTRE'!A90</f>
        <v>CONCORRÊNCIA / nº 021/2021</v>
      </c>
      <c r="B90" s="19" t="str">
        <f>'3o TRIMESTRE'!B90</f>
        <v>CONTRATAÇÃO DE EMPRESA DE ENGENHARIA, ESPECIALIZADA EM ILUMINAÇÃO PÚBLICA, PARA FORNECIMENTO E INSTALAÇÃO DE LUMINÁRIAS RGB COM TECNOLOGIA LED E REDE ELÉTRICA, PARA ILUMINAÇÃO CÊNICA, DO TEATRO SANTA IZABEL BAIRRO SANTO ANTÔNIO</v>
      </c>
      <c r="C90" s="19">
        <v>3</v>
      </c>
      <c r="D90" s="19" t="str">
        <f>'3o TRIMESTRE'!D90</f>
        <v>FINISA</v>
      </c>
      <c r="E90" s="64">
        <f>'3o TRIMESTRE'!E90</f>
        <v>50000000</v>
      </c>
      <c r="F90" s="64">
        <f>'3o TRIMESTRE'!F90</f>
        <v>0</v>
      </c>
      <c r="G90" s="19" t="str">
        <f>'3o TRIMESTRE'!G90</f>
        <v>01.346.561/0001-00</v>
      </c>
      <c r="H90" s="19" t="str">
        <f>'3o TRIMESTRE'!H90</f>
        <v>VASCONCELOS E SANTOS LTDA</v>
      </c>
      <c r="I90" s="17" t="str">
        <f>'3o TRIMESTRE'!I90</f>
        <v>6-019/22</v>
      </c>
      <c r="J90" s="32">
        <f>'3o TRIMESTRE'!J90</f>
        <v>44651</v>
      </c>
      <c r="K90" s="17">
        <f>'3o TRIMESTRE'!K90</f>
        <v>150</v>
      </c>
      <c r="L90" s="64">
        <f>'3o TRIMESTRE'!L90</f>
        <v>306496.2</v>
      </c>
      <c r="M90" s="32">
        <f t="shared" si="6"/>
        <v>44801</v>
      </c>
      <c r="N90" s="17">
        <f>'3o TRIMESTRE'!N90</f>
        <v>0</v>
      </c>
      <c r="O90" s="64">
        <f>'3o TRIMESTRE'!O90</f>
        <v>0</v>
      </c>
      <c r="P90" s="64">
        <f>'3o TRIMESTRE'!P90</f>
        <v>0</v>
      </c>
      <c r="Q90" s="17" t="str">
        <f>'3o TRIMESTRE'!Q90</f>
        <v>4.4.90.39</v>
      </c>
      <c r="R90" s="64">
        <f>'3o TRIMESTRE'!R90+80854.6</f>
        <v>80854.6</v>
      </c>
      <c r="S90" s="64"/>
      <c r="T90" s="64">
        <f>'3o TRIMESTRE'!T90+S90</f>
        <v>0</v>
      </c>
      <c r="U90" s="64">
        <f>'3o TRIMESTRE'!U90+S90</f>
        <v>0</v>
      </c>
      <c r="V90" s="19" t="s">
        <v>188</v>
      </c>
    </row>
    <row r="91" spans="1:22" ht="31.5">
      <c r="A91" s="19" t="str">
        <f>'3o TRIMESTRE'!A91</f>
        <v>CONCORRÊNCIA / Nº 013/2021</v>
      </c>
      <c r="B91" s="19" t="str">
        <f>'3o TRIMESTRE'!B91</f>
        <v>CONTRATAÇÃO DE EMPRESA DE PRODUÇÃO DE ARTES E ILUMINAÇÃO CÊNICA PARA EXECUÇÃO DOS SERVIÇOS DE VÍDEO MAPPING E PROJEÇÃO HOLOGRÁFICA EM CORTINA D`ÁGUA NO RIO CAPIBARIBE</v>
      </c>
      <c r="C91" s="19">
        <v>4</v>
      </c>
      <c r="D91" s="19">
        <f>'3o TRIMESTRE'!D91</f>
        <v>0</v>
      </c>
      <c r="E91" s="64">
        <f>'3o TRIMESTRE'!E91</f>
        <v>0</v>
      </c>
      <c r="F91" s="64">
        <f>'3o TRIMESTRE'!F91</f>
        <v>0</v>
      </c>
      <c r="G91" s="19" t="str">
        <f>'3o TRIMESTRE'!G91</f>
        <v>20.165.281/0001-40</v>
      </c>
      <c r="H91" s="19" t="str">
        <f>'3o TRIMESTRE'!H91</f>
        <v>TNP PRODUCOES DE EVENTOS LTDA</v>
      </c>
      <c r="I91" s="17" t="str">
        <f>'3o TRIMESTRE'!I91</f>
        <v>6-064/21</v>
      </c>
      <c r="J91" s="32">
        <f>'3o TRIMESTRE'!J91</f>
        <v>44559</v>
      </c>
      <c r="K91" s="17">
        <f>'3o TRIMESTRE'!K91</f>
        <v>760</v>
      </c>
      <c r="L91" s="64">
        <f>'3o TRIMESTRE'!L91</f>
        <v>2227129.66</v>
      </c>
      <c r="M91" s="32">
        <f t="shared" si="6"/>
        <v>45319</v>
      </c>
      <c r="N91" s="17">
        <f>'3o TRIMESTRE'!N91</f>
        <v>0</v>
      </c>
      <c r="O91" s="64">
        <f>'3o TRIMESTRE'!O91</f>
        <v>237561.68</v>
      </c>
      <c r="P91" s="64">
        <f>'3o TRIMESTRE'!P91</f>
        <v>0</v>
      </c>
      <c r="Q91" s="17" t="str">
        <f>'3o TRIMESTRE'!Q91</f>
        <v>4.4.90.39</v>
      </c>
      <c r="R91" s="64">
        <f>'3o TRIMESTRE'!R91+80854.6</f>
        <v>940511.9500000001</v>
      </c>
      <c r="S91" s="64"/>
      <c r="T91" s="64">
        <f>'3o TRIMESTRE'!T91+S91</f>
        <v>859657.3500000001</v>
      </c>
      <c r="U91" s="64">
        <f>'3o TRIMESTRE'!U91+S91</f>
        <v>859657.3500000001</v>
      </c>
      <c r="V91" s="19" t="s">
        <v>188</v>
      </c>
    </row>
    <row r="92" spans="1:22" ht="31.5">
      <c r="A92" s="19" t="str">
        <f>'3o TRIMESTRE'!A92</f>
        <v>TOMADA DE PREÇOS Licitação: 008/2021</v>
      </c>
      <c r="B92" s="19" t="str">
        <f>'3o TRIMESTRE'!B92</f>
        <v>SERVIÇOS DE IMPLANTAÇÃO DE PAVIMENTAÇÃO, DRENAGEM, ACESSIBILIDADE E SINALIZAÇÃO DA RUA FRANCISCO VITA TRECHO, ENTRE A AV. CAXANGA E A RUA ALAIDE LOCALIZADA NO BAIRRO DO CORDEIRO NA CIDADE DO RECIFE PE</v>
      </c>
      <c r="C92" s="19">
        <v>5</v>
      </c>
      <c r="D92" s="19">
        <f>'3o TRIMESTRE'!D92</f>
        <v>0</v>
      </c>
      <c r="E92" s="64">
        <f>'3o TRIMESTRE'!E92</f>
        <v>0</v>
      </c>
      <c r="F92" s="64">
        <f>'3o TRIMESTRE'!F92</f>
        <v>0</v>
      </c>
      <c r="G92" s="19" t="str">
        <f>'3o TRIMESTRE'!G92</f>
        <v>11.481.173/0001-95</v>
      </c>
      <c r="H92" s="19" t="str">
        <f>'3o TRIMESTRE'!H92</f>
        <v>ETNA ENGENHARIA E TERRAPLANAGEM NACIONAL LTDA</v>
      </c>
      <c r="I92" s="17" t="str">
        <f>'3o TRIMESTRE'!I92</f>
        <v>6-062/21</v>
      </c>
      <c r="J92" s="32">
        <f>'3o TRIMESTRE'!J92</f>
        <v>44607</v>
      </c>
      <c r="K92" s="17">
        <f>'3o TRIMESTRE'!K92</f>
        <v>180</v>
      </c>
      <c r="L92" s="64">
        <f>'3o TRIMESTRE'!L92</f>
        <v>836036.43</v>
      </c>
      <c r="M92" s="32">
        <f t="shared" si="6"/>
        <v>44877</v>
      </c>
      <c r="N92" s="17">
        <f>'3o TRIMESTRE'!N92</f>
        <v>90</v>
      </c>
      <c r="O92" s="64">
        <f>'3o TRIMESTRE'!O92</f>
        <v>0</v>
      </c>
      <c r="P92" s="64">
        <f>'3o TRIMESTRE'!P92</f>
        <v>-6526.52</v>
      </c>
      <c r="Q92" s="17" t="str">
        <f>'3o TRIMESTRE'!Q92</f>
        <v>4.4.90.39</v>
      </c>
      <c r="R92" s="64">
        <f>'3o TRIMESTRE'!R92+80854.6</f>
        <v>80854.6</v>
      </c>
      <c r="S92" s="64"/>
      <c r="T92" s="64">
        <f>'3o TRIMESTRE'!T92+S92</f>
        <v>0</v>
      </c>
      <c r="U92" s="64">
        <f>'3o TRIMESTRE'!U92+S92</f>
        <v>0</v>
      </c>
      <c r="V92" s="19" t="s">
        <v>188</v>
      </c>
    </row>
    <row r="93" spans="1:22" ht="31.5">
      <c r="A93" s="19" t="str">
        <f>'3o TRIMESTRE'!A93</f>
        <v>CONCORRÊNCIA / Nº 005/2021</v>
      </c>
      <c r="B93" s="19" t="str">
        <f>'3o TRIMESTRE'!B93</f>
        <v>CONTRATAÇÃO DE EMPRESA DE ENGENHARIA ESPECIALIZADA EM ILUMINAÇÃO PÚBLICA PARA REALIZAÇÃO DE MANUTENÇÃO PREVENTIVA E CORRETIVA DO SISTEMA DE ILUMINAÇÃO PÚBLICA ESPECIAL DO MUNICÍPIO DO RECIFE</v>
      </c>
      <c r="C93" s="19">
        <v>6</v>
      </c>
      <c r="D93" s="19">
        <f>'3o TRIMESTRE'!D93</f>
        <v>0</v>
      </c>
      <c r="E93" s="64">
        <f>'3o TRIMESTRE'!E93</f>
        <v>0</v>
      </c>
      <c r="F93" s="64">
        <f>'3o TRIMESTRE'!F93</f>
        <v>0</v>
      </c>
      <c r="G93" s="19" t="str">
        <f>'3o TRIMESTRE'!G93</f>
        <v>41.116.138/0001-38</v>
      </c>
      <c r="H93" s="19" t="str">
        <f>'3o TRIMESTRE'!H93</f>
        <v>REAL ENERGY LTDA</v>
      </c>
      <c r="I93" s="17" t="str">
        <f>'3o TRIMESTRE'!I93</f>
        <v>6-040/21</v>
      </c>
      <c r="J93" s="32">
        <f>'3o TRIMESTRE'!J93</f>
        <v>44469</v>
      </c>
      <c r="K93" s="17">
        <f>'3o TRIMESTRE'!K93</f>
        <v>920</v>
      </c>
      <c r="L93" s="64">
        <f>'3o TRIMESTRE'!L93</f>
        <v>1730333.68</v>
      </c>
      <c r="M93" s="32">
        <f t="shared" si="6"/>
        <v>45389</v>
      </c>
      <c r="N93" s="17">
        <f>'3o TRIMESTRE'!N93</f>
        <v>0</v>
      </c>
      <c r="O93" s="64">
        <f>'3o TRIMESTRE'!O93</f>
        <v>0</v>
      </c>
      <c r="P93" s="64">
        <f>'3o TRIMESTRE'!P93</f>
        <v>0</v>
      </c>
      <c r="Q93" s="17" t="str">
        <f>'3o TRIMESTRE'!Q93</f>
        <v>3.390.39</v>
      </c>
      <c r="R93" s="64">
        <f>'3o TRIMESTRE'!R93+80854.6</f>
        <v>525640.96</v>
      </c>
      <c r="S93" s="64"/>
      <c r="T93" s="64">
        <f>'3o TRIMESTRE'!T93+S93</f>
        <v>444786.36</v>
      </c>
      <c r="U93" s="64">
        <f>'3o TRIMESTRE'!U93+S93</f>
        <v>444786.36</v>
      </c>
      <c r="V93" s="19" t="s">
        <v>188</v>
      </c>
    </row>
    <row r="94" spans="1:22" ht="31.5">
      <c r="A94" s="19" t="str">
        <f>'3o TRIMESTRE'!A94</f>
        <v>PREGÃO ELETRÔNICO Licitação: 006/2022</v>
      </c>
      <c r="B94" s="19" t="str">
        <f>'3o TRIMESTRE'!B94</f>
        <v>CONTRATAÇÃO DE EMPRESA ESPECIALIZADA EM SERVIÇOS DE ENGENHARIA AGRONÔMICA COM FINS DE EXECUÇÃO DE SERVIÇOS DE MANUTENÇÃO DO ARBORETO URBANO DAS VIAS PÚBLICAS, PARQUES, PRAÇAS E DEMAIS ÁREAS VERDES DA CIDADE DO RECIFE</v>
      </c>
      <c r="C94" s="19">
        <v>7</v>
      </c>
      <c r="D94" s="19">
        <f>'3o TRIMESTRE'!D94</f>
        <v>0</v>
      </c>
      <c r="E94" s="64">
        <f>'3o TRIMESTRE'!E94</f>
        <v>0</v>
      </c>
      <c r="F94" s="64">
        <f>'3o TRIMESTRE'!F94</f>
        <v>0</v>
      </c>
      <c r="G94" s="19" t="str">
        <f>'3o TRIMESTRE'!G94</f>
        <v>00.449.936/0001-02</v>
      </c>
      <c r="H94" s="19" t="str">
        <f>'3o TRIMESTRE'!H94</f>
        <v>ENGEMAIA E CIA LTDA</v>
      </c>
      <c r="I94" s="17" t="str">
        <f>'3o TRIMESTRE'!I94</f>
        <v>6-020/22</v>
      </c>
      <c r="J94" s="32">
        <f>'3o TRIMESTRE'!J94</f>
        <v>44678</v>
      </c>
      <c r="K94" s="17">
        <f>'3o TRIMESTRE'!K94</f>
        <v>1216</v>
      </c>
      <c r="L94" s="64">
        <f>'3o TRIMESTRE'!L94</f>
        <v>56414995.56</v>
      </c>
      <c r="M94" s="32">
        <f t="shared" si="6"/>
        <v>45894</v>
      </c>
      <c r="N94" s="17">
        <f>'3o TRIMESTRE'!N94</f>
        <v>0</v>
      </c>
      <c r="O94" s="64">
        <f>'3o TRIMESTRE'!O94</f>
        <v>0</v>
      </c>
      <c r="P94" s="64">
        <f>'3o TRIMESTRE'!P94</f>
        <v>0</v>
      </c>
      <c r="Q94" s="17" t="str">
        <f>'3o TRIMESTRE'!Q94</f>
        <v>3.3.90.39</v>
      </c>
      <c r="R94" s="64">
        <f>'3o TRIMESTRE'!R94+80854.6</f>
        <v>4696932.819999999</v>
      </c>
      <c r="S94" s="64"/>
      <c r="T94" s="64">
        <f>'3o TRIMESTRE'!T94+S94</f>
        <v>4616078.22</v>
      </c>
      <c r="U94" s="64">
        <f>'3o TRIMESTRE'!U94+S94</f>
        <v>4616078.22</v>
      </c>
      <c r="V94" s="19" t="s">
        <v>188</v>
      </c>
    </row>
    <row r="95" spans="1:22" ht="31.5">
      <c r="A95" s="19" t="str">
        <f>'3o TRIMESTRE'!A95</f>
        <v>PREGÃO ELETRÔNICO Licitação: 014/2022</v>
      </c>
      <c r="B95" s="19" t="str">
        <f>'3o TRIMESTRE'!B95</f>
        <v>CONTRATAÇÃO DE EMPRESA DE ENGENHARIA CIVIL PARA A EXECUÇÃO DE SERVIÇOS DE REQUALIFICAÇÃO, MANUTENÇÃO PREVENTIVA E CORRETIVA DOS EQUIPAMENTOS ESPORTIVOS NA ORLA DE BOA VIAGEM</v>
      </c>
      <c r="C95" s="19">
        <v>8</v>
      </c>
      <c r="D95" s="19">
        <f>'3o TRIMESTRE'!D95</f>
        <v>0</v>
      </c>
      <c r="E95" s="64">
        <f>'3o TRIMESTRE'!E95</f>
        <v>0</v>
      </c>
      <c r="F95" s="64">
        <f>'3o TRIMESTRE'!F95</f>
        <v>0</v>
      </c>
      <c r="G95" s="19" t="str">
        <f>'3o TRIMESTRE'!G95</f>
        <v>10.698.641/0001-15</v>
      </c>
      <c r="H95" s="19" t="str">
        <f>'3o TRIMESTRE'!H95</f>
        <v>CONSTRUTORA MASTER EIRELI ME</v>
      </c>
      <c r="I95" s="17" t="str">
        <f>'3o TRIMESTRE'!I95</f>
        <v>6-021/22</v>
      </c>
      <c r="J95" s="32">
        <f>'3o TRIMESTRE'!J95</f>
        <v>44687</v>
      </c>
      <c r="K95" s="17">
        <f>'3o TRIMESTRE'!K95</f>
        <v>150</v>
      </c>
      <c r="L95" s="64">
        <f>'3o TRIMESTRE'!L95</f>
        <v>999000</v>
      </c>
      <c r="M95" s="32">
        <f t="shared" si="6"/>
        <v>44837</v>
      </c>
      <c r="N95" s="17">
        <f>'3o TRIMESTRE'!N95</f>
        <v>0</v>
      </c>
      <c r="O95" s="64">
        <f>'3o TRIMESTRE'!O95</f>
        <v>0</v>
      </c>
      <c r="P95" s="64">
        <f>'3o TRIMESTRE'!P95</f>
        <v>0</v>
      </c>
      <c r="Q95" s="17" t="str">
        <f>'3o TRIMESTRE'!Q95</f>
        <v>4.4.90.39</v>
      </c>
      <c r="R95" s="64">
        <f>'3o TRIMESTRE'!R95+80854.6</f>
        <v>728640.19</v>
      </c>
      <c r="S95" s="64"/>
      <c r="T95" s="64">
        <f>'3o TRIMESTRE'!T95+S95</f>
        <v>647785.59</v>
      </c>
      <c r="U95" s="64">
        <f>'3o TRIMESTRE'!U95+S95</f>
        <v>647785.59</v>
      </c>
      <c r="V95" s="19" t="s">
        <v>188</v>
      </c>
    </row>
    <row r="96" spans="1:22" ht="31.5">
      <c r="A96" s="19" t="str">
        <f>'3o TRIMESTRE'!A96</f>
        <v>TOMADA DE PREÇOS Licitação: 001/2022</v>
      </c>
      <c r="B96" s="19" t="str">
        <f>'3o TRIMESTRE'!B96</f>
        <v>REFORMA DE DOIS PRÉDIOS PÚBLICOS MANTIDOS PELA EMLURB, REFORMA COM AMPLIAÇÃO PARA IMPLANTAÇÃO DO SETOR DE FISCALIZAÇÃO STFI , 2 E 3, LOCALIZADA NA RUA JOUBERTE CARVALHO, CASA AMARELA E DIVISÃO DE FISCALIZAÇÃO DVFI 4 E 5 LOCALIZADO NO PARQUE DO CAIARA, AV. MAURÍCIO DE NASSAU, 68 IPUTINGA, RECIFE</v>
      </c>
      <c r="C96" s="19">
        <v>9</v>
      </c>
      <c r="D96" s="19">
        <f>'3o TRIMESTRE'!D96</f>
        <v>0</v>
      </c>
      <c r="E96" s="64">
        <f>'3o TRIMESTRE'!E96</f>
        <v>0</v>
      </c>
      <c r="F96" s="64">
        <f>'3o TRIMESTRE'!F96</f>
        <v>0</v>
      </c>
      <c r="G96" s="19" t="str">
        <f>'3o TRIMESTRE'!G96</f>
        <v>17.772.572/0001-91</v>
      </c>
      <c r="H96" s="19" t="str">
        <f>'3o TRIMESTRE'!H96</f>
        <v>CARVALHO PONTES ENGENHARIA LTDA - EPP</v>
      </c>
      <c r="I96" s="17" t="str">
        <f>'3o TRIMESTRE'!I96</f>
        <v>6-022/22</v>
      </c>
      <c r="J96" s="32">
        <f>'3o TRIMESTRE'!J96</f>
        <v>44694</v>
      </c>
      <c r="K96" s="17">
        <f>'3o TRIMESTRE'!K96</f>
        <v>240</v>
      </c>
      <c r="L96" s="64">
        <f>'3o TRIMESTRE'!L96</f>
        <v>570270.67</v>
      </c>
      <c r="M96" s="32">
        <f t="shared" si="6"/>
        <v>44934</v>
      </c>
      <c r="N96" s="17">
        <f>'3o TRIMESTRE'!N96</f>
        <v>0</v>
      </c>
      <c r="O96" s="64">
        <f>'3o TRIMESTRE'!O96</f>
        <v>0</v>
      </c>
      <c r="P96" s="64">
        <f>'3o TRIMESTRE'!P96</f>
        <v>0</v>
      </c>
      <c r="Q96" s="17" t="str">
        <f>'3o TRIMESTRE'!Q96</f>
        <v>4.4.90.39</v>
      </c>
      <c r="R96" s="64">
        <f>'3o TRIMESTRE'!R96+80854.6</f>
        <v>80854.6</v>
      </c>
      <c r="S96" s="64"/>
      <c r="T96" s="64">
        <f>'3o TRIMESTRE'!T96+S96</f>
        <v>0</v>
      </c>
      <c r="U96" s="64">
        <f>'3o TRIMESTRE'!U96+S96</f>
        <v>0</v>
      </c>
      <c r="V96" s="19" t="s">
        <v>188</v>
      </c>
    </row>
    <row r="97" spans="1:22" ht="31.5">
      <c r="A97" s="19" t="str">
        <f>'3o TRIMESTRE'!A97</f>
        <v>TOMADA DE PREÇOS Licitação: 003/2022</v>
      </c>
      <c r="B97" s="19" t="str">
        <f>'3o TRIMESTRE'!B97</f>
        <v>CONTRATAÇÃO DE EMPRESA ESPECIALIZADA NO RAMO DE ENGENHARIA PARA EXECUÇÃO DOS SERVIÇOS DE REQUALIFICAÇÃO DA PRAÇA ABELARDO BALTAR, PRAÇA BRASILIA FORMOSA E PRAÇA SÃO PEDRO LOCALIZADAS NA CIDADE DO RECIFE PE, DE ACORDO COM AS NORMAS PREVISTAS NESTE PROJETO BÁSICO E NA PLANILHA ORÇAMENTÁRIA</v>
      </c>
      <c r="C97" s="19">
        <v>10</v>
      </c>
      <c r="D97" s="19">
        <f>'3o TRIMESTRE'!D97</f>
        <v>0</v>
      </c>
      <c r="E97" s="64">
        <f>'3o TRIMESTRE'!E97</f>
        <v>0</v>
      </c>
      <c r="F97" s="64">
        <f>'3o TRIMESTRE'!F97</f>
        <v>0</v>
      </c>
      <c r="G97" s="19" t="str">
        <f>'3o TRIMESTRE'!G97</f>
        <v>10.893.105/0001-70</v>
      </c>
      <c r="H97" s="19" t="str">
        <f>'3o TRIMESTRE'!H97</f>
        <v>AGILIS CONSTRUTORA LTDA</v>
      </c>
      <c r="I97" s="17" t="str">
        <f>'3o TRIMESTRE'!I97</f>
        <v>6-023/22</v>
      </c>
      <c r="J97" s="32">
        <f>'3o TRIMESTRE'!J97</f>
        <v>44713</v>
      </c>
      <c r="K97" s="17">
        <f>'3o TRIMESTRE'!K97</f>
        <v>180</v>
      </c>
      <c r="L97" s="64">
        <f>'3o TRIMESTRE'!L97</f>
        <v>157510.08</v>
      </c>
      <c r="M97" s="32">
        <f t="shared" si="6"/>
        <v>44893</v>
      </c>
      <c r="N97" s="17">
        <f>'3o TRIMESTRE'!N97</f>
        <v>0</v>
      </c>
      <c r="O97" s="64">
        <f>'3o TRIMESTRE'!O97</f>
        <v>0</v>
      </c>
      <c r="P97" s="64">
        <f>'3o TRIMESTRE'!P97</f>
        <v>-107.76</v>
      </c>
      <c r="Q97" s="17" t="str">
        <f>'3o TRIMESTRE'!Q97</f>
        <v>4.4.90.39</v>
      </c>
      <c r="R97" s="64">
        <f>'3o TRIMESTRE'!R97+80854.6</f>
        <v>80854.6</v>
      </c>
      <c r="S97" s="64"/>
      <c r="T97" s="64">
        <f>'3o TRIMESTRE'!T97+S97</f>
        <v>0</v>
      </c>
      <c r="U97" s="64">
        <f>'3o TRIMESTRE'!U97+S97</f>
        <v>0</v>
      </c>
      <c r="V97" s="19" t="s">
        <v>188</v>
      </c>
    </row>
    <row r="98" spans="1:22" ht="31.5">
      <c r="A98" s="19" t="str">
        <f>'3o TRIMESTRE'!A98</f>
        <v>PREGÃO ELETRÔNICO Licitação: 010/2022</v>
      </c>
      <c r="B98" s="19" t="str">
        <f>'3o TRIMESTRE'!B98</f>
        <v>REQUALIFICAÇÃO DO PARQUE APIPUCOS E DO SEU ENTORNO</v>
      </c>
      <c r="C98" s="19">
        <v>11</v>
      </c>
      <c r="D98" s="19">
        <f>'3o TRIMESTRE'!D98</f>
        <v>0</v>
      </c>
      <c r="E98" s="64">
        <f>'3o TRIMESTRE'!E98</f>
        <v>0</v>
      </c>
      <c r="F98" s="64">
        <f>'3o TRIMESTRE'!F98</f>
        <v>0</v>
      </c>
      <c r="G98" s="19" t="str">
        <f>'3o TRIMESTRE'!G98</f>
        <v>41.116.138/0001-38</v>
      </c>
      <c r="H98" s="19" t="str">
        <f>'3o TRIMESTRE'!H98</f>
        <v>REAL ENERGY LTDA</v>
      </c>
      <c r="I98" s="17" t="str">
        <f>'3o TRIMESTRE'!I98</f>
        <v>6-024/22</v>
      </c>
      <c r="J98" s="32">
        <f>'3o TRIMESTRE'!J98</f>
        <v>44697</v>
      </c>
      <c r="K98" s="17">
        <f>'3o TRIMESTRE'!K98</f>
        <v>210</v>
      </c>
      <c r="L98" s="64">
        <f>'3o TRIMESTRE'!L98</f>
        <v>1951428.17</v>
      </c>
      <c r="M98" s="32">
        <f t="shared" si="6"/>
        <v>44907</v>
      </c>
      <c r="N98" s="17">
        <f>'3o TRIMESTRE'!N98</f>
        <v>0</v>
      </c>
      <c r="O98" s="64">
        <f>'3o TRIMESTRE'!O98</f>
        <v>0</v>
      </c>
      <c r="P98" s="64">
        <f>'3o TRIMESTRE'!P98</f>
        <v>0</v>
      </c>
      <c r="Q98" s="17" t="str">
        <f>'3o TRIMESTRE'!Q98</f>
        <v>4.4.90.39</v>
      </c>
      <c r="R98" s="64">
        <f>'3o TRIMESTRE'!R98+80854.6</f>
        <v>94987.38</v>
      </c>
      <c r="S98" s="64"/>
      <c r="T98" s="64">
        <f>'3o TRIMESTRE'!T98+S98</f>
        <v>14132.78</v>
      </c>
      <c r="U98" s="64">
        <f>'3o TRIMESTRE'!U98+S98</f>
        <v>14132.78</v>
      </c>
      <c r="V98" s="19" t="s">
        <v>188</v>
      </c>
    </row>
    <row r="99" spans="1:22" ht="31.5">
      <c r="A99" s="19" t="str">
        <f>'3o TRIMESTRE'!A99</f>
        <v>CONCORRÊNCIA Licitação: 003/2022</v>
      </c>
      <c r="B99" s="19" t="str">
        <f>'3o TRIMESTRE'!B99</f>
        <v>CONTRATAÇÃO DE EMPRESA DE ENGENHARIA, ESPECIALIZADA EM ILUMINAÇÃO PÚBLICA, PARA FORNECIMENTO E INSTAÇÃO DE LUMINARIAS COM TECNOLOGIA LED, COMPATÍVEIS COM SISTEMA DE TELEGESTÃO E REDE ELÉTRICA, PARA ILUMINAÇÃO PÚBLICA DA BR 101, NO TRECHO COMPREENDIDO ENTRE OS KM 69 E KM 78 E OS KM 62 E KM 58</v>
      </c>
      <c r="C99" s="19">
        <v>12</v>
      </c>
      <c r="D99" s="19">
        <f>'3o TRIMESTRE'!D99</f>
        <v>0</v>
      </c>
      <c r="E99" s="64">
        <f>'3o TRIMESTRE'!E99</f>
        <v>0</v>
      </c>
      <c r="F99" s="64">
        <f>'3o TRIMESTRE'!F99</f>
        <v>0</v>
      </c>
      <c r="G99" s="19" t="str">
        <f>'3o TRIMESTRE'!G99</f>
        <v>01.346.561/0001-00</v>
      </c>
      <c r="H99" s="19" t="str">
        <f>'3o TRIMESTRE'!H99</f>
        <v>VASCONCELOS E SANTOS LTDA</v>
      </c>
      <c r="I99" s="17" t="str">
        <f>'3o TRIMESTRE'!I99</f>
        <v>6-025/22</v>
      </c>
      <c r="J99" s="32">
        <f>'3o TRIMESTRE'!J99</f>
        <v>44691</v>
      </c>
      <c r="K99" s="17">
        <f>'3o TRIMESTRE'!K99</f>
        <v>395</v>
      </c>
      <c r="L99" s="64">
        <f>'3o TRIMESTRE'!L99</f>
        <v>4795564.07</v>
      </c>
      <c r="M99" s="32">
        <f t="shared" si="6"/>
        <v>45086</v>
      </c>
      <c r="N99" s="17">
        <f>'3o TRIMESTRE'!N99</f>
        <v>0</v>
      </c>
      <c r="O99" s="64">
        <f>'3o TRIMESTRE'!O99</f>
        <v>0</v>
      </c>
      <c r="P99" s="64">
        <f>'3o TRIMESTRE'!P99</f>
        <v>0</v>
      </c>
      <c r="Q99" s="17" t="str">
        <f>'3o TRIMESTRE'!Q99</f>
        <v>4.4.90.39</v>
      </c>
      <c r="R99" s="64">
        <f>'3o TRIMESTRE'!R99+80854.6</f>
        <v>80854.6</v>
      </c>
      <c r="S99" s="64"/>
      <c r="T99" s="64">
        <f>'3o TRIMESTRE'!T99+S99</f>
        <v>0</v>
      </c>
      <c r="U99" s="64">
        <f>'3o TRIMESTRE'!U99+S99</f>
        <v>0</v>
      </c>
      <c r="V99" s="19" t="s">
        <v>188</v>
      </c>
    </row>
    <row r="100" spans="1:22" ht="31.5">
      <c r="A100" s="19" t="str">
        <f>'3o TRIMESTRE'!A100</f>
        <v>CONCORRÊNCIA Licitação: 007/2021</v>
      </c>
      <c r="B100" s="19" t="str">
        <f>'3o TRIMESTRE'!B100</f>
        <v>CONTRATAÇÃO DE EMPRESA ESPECIALIZADA EM ENGENHARIA PARA ELABORAÇÃO E READEQUAÇÃO DE PROJETOS EXECUTIVOS DE INFRAESTRUTURADA URBANA, PARA AS VIAS DA CIDADE DO RECIFE</v>
      </c>
      <c r="C100" s="19">
        <v>13</v>
      </c>
      <c r="D100" s="19">
        <f>'3o TRIMESTRE'!D100</f>
        <v>0</v>
      </c>
      <c r="E100" s="64">
        <f>'3o TRIMESTRE'!E100</f>
        <v>0</v>
      </c>
      <c r="F100" s="64">
        <f>'3o TRIMESTRE'!F100</f>
        <v>0</v>
      </c>
      <c r="G100" s="19" t="str">
        <f>'3o TRIMESTRE'!G100</f>
        <v>70.073.275/0001-30</v>
      </c>
      <c r="H100" s="19" t="str">
        <f>'3o TRIMESTRE'!H100</f>
        <v>GEOSISTEMAS ENGENHARIA E PLANEJAMENTO LTDA</v>
      </c>
      <c r="I100" s="17" t="str">
        <f>'3o TRIMESTRE'!I100</f>
        <v>6-027/22</v>
      </c>
      <c r="J100" s="32">
        <f>'3o TRIMESTRE'!J100</f>
        <v>44732</v>
      </c>
      <c r="K100" s="17">
        <f>'3o TRIMESTRE'!K100</f>
        <v>210</v>
      </c>
      <c r="L100" s="64">
        <f>'3o TRIMESTRE'!L100</f>
        <v>664493.28</v>
      </c>
      <c r="M100" s="32">
        <f t="shared" si="6"/>
        <v>44942</v>
      </c>
      <c r="N100" s="17">
        <f>'3o TRIMESTRE'!N100</f>
        <v>0</v>
      </c>
      <c r="O100" s="64">
        <f>'3o TRIMESTRE'!O100</f>
        <v>0</v>
      </c>
      <c r="P100" s="64">
        <f>'3o TRIMESTRE'!P100</f>
        <v>0</v>
      </c>
      <c r="Q100" s="17" t="str">
        <f>'3o TRIMESTRE'!Q100</f>
        <v>4.4.90.39</v>
      </c>
      <c r="R100" s="64">
        <f>'3o TRIMESTRE'!R100+80854.6</f>
        <v>80854.6</v>
      </c>
      <c r="S100" s="64"/>
      <c r="T100" s="64">
        <f>'3o TRIMESTRE'!T100+S100</f>
        <v>0</v>
      </c>
      <c r="U100" s="64">
        <f>'3o TRIMESTRE'!U100+S100</f>
        <v>0</v>
      </c>
      <c r="V100" s="19" t="s">
        <v>188</v>
      </c>
    </row>
    <row r="101" spans="1:22" ht="31.5">
      <c r="A101" s="19" t="str">
        <f>'3o TRIMESTRE'!A101</f>
        <v>CONCORRÊNCIA Licitação: 007/2021</v>
      </c>
      <c r="B101" s="19" t="str">
        <f>'3o TRIMESTRE'!B101</f>
        <v>CONTRATAÇÃO DE EMPRESA ESPECIALIZADA EM ENGENHARIA PARA ELABORAÇÃO E READEQUAÇÃO DE PROJETOS EXECUTIVOS DE INFRAESTRUTURADA URBANA, PARA AS VIAS DA CIDADE DO RECIFE</v>
      </c>
      <c r="C101" s="19">
        <v>14</v>
      </c>
      <c r="D101" s="19">
        <f>'3o TRIMESTRE'!D101</f>
        <v>0</v>
      </c>
      <c r="E101" s="64">
        <f>'3o TRIMESTRE'!E101</f>
        <v>0</v>
      </c>
      <c r="F101" s="64">
        <f>'3o TRIMESTRE'!F101</f>
        <v>0</v>
      </c>
      <c r="G101" s="19" t="str">
        <f>'3o TRIMESTRE'!G101</f>
        <v>17.883.268/0001-11</v>
      </c>
      <c r="H101" s="19" t="str">
        <f>'3o TRIMESTRE'!H101</f>
        <v>WRC SOLUCOES - PROJETOS, GEODESIA E CONSTRUÇÃO LTDA</v>
      </c>
      <c r="I101" s="17" t="str">
        <f>'3o TRIMESTRE'!I101</f>
        <v>6-028/22</v>
      </c>
      <c r="J101" s="32">
        <f>'3o TRIMESTRE'!J101</f>
        <v>44714</v>
      </c>
      <c r="K101" s="17">
        <f>'3o TRIMESTRE'!K101</f>
        <v>360</v>
      </c>
      <c r="L101" s="64">
        <f>'3o TRIMESTRE'!L101</f>
        <v>1688150.08</v>
      </c>
      <c r="M101" s="32">
        <f t="shared" si="6"/>
        <v>45074</v>
      </c>
      <c r="N101" s="17">
        <f>'3o TRIMESTRE'!N101</f>
        <v>0</v>
      </c>
      <c r="O101" s="64">
        <f>'3o TRIMESTRE'!O101</f>
        <v>0</v>
      </c>
      <c r="P101" s="64">
        <f>'3o TRIMESTRE'!P101</f>
        <v>0</v>
      </c>
      <c r="Q101" s="17" t="str">
        <f>'3o TRIMESTRE'!Q101</f>
        <v>4.4.90.39</v>
      </c>
      <c r="R101" s="64">
        <f>'3o TRIMESTRE'!R101+80854.6</f>
        <v>80854.6</v>
      </c>
      <c r="S101" s="64"/>
      <c r="T101" s="64">
        <f>'3o TRIMESTRE'!T101+S101</f>
        <v>0</v>
      </c>
      <c r="U101" s="64">
        <f>'3o TRIMESTRE'!U101+S101</f>
        <v>0</v>
      </c>
      <c r="V101" s="19" t="s">
        <v>188</v>
      </c>
    </row>
    <row r="102" spans="1:22" ht="31.5">
      <c r="A102" s="19" t="str">
        <f>'3o TRIMESTRE'!A102</f>
        <v>PREGÃO ELETRÔNICO Licitação: 017/2022</v>
      </c>
      <c r="B102" s="19" t="str">
        <f>'3o TRIMESTRE'!B102</f>
        <v>MANUTENÇÃO E /OU INSTALAÇÃO DE EQUIPAMENTOS E BRINQUEDOS EM MADEIRA, INSTALADOS EM PARQUES E PRAÇAS DA CIDADE DO RECIFE</v>
      </c>
      <c r="C102" s="19">
        <v>15</v>
      </c>
      <c r="D102" s="19">
        <f>'3o TRIMESTRE'!D102</f>
        <v>0</v>
      </c>
      <c r="E102" s="64">
        <f>'3o TRIMESTRE'!E102</f>
        <v>0</v>
      </c>
      <c r="F102" s="64">
        <f>'3o TRIMESTRE'!F102</f>
        <v>0</v>
      </c>
      <c r="G102" s="19" t="str">
        <f>'3o TRIMESTRE'!G102</f>
        <v>06.157.352/0001-31</v>
      </c>
      <c r="H102" s="19" t="str">
        <f>'3o TRIMESTRE'!H102</f>
        <v>ROBERTO &amp; JAIR COMÉRCIO E SERVIÇOS LTDA-ME</v>
      </c>
      <c r="I102" s="17" t="str">
        <f>'3o TRIMESTRE'!I102</f>
        <v>6-032/22</v>
      </c>
      <c r="J102" s="32">
        <f>'3o TRIMESTRE'!J102</f>
        <v>44718</v>
      </c>
      <c r="K102" s="17">
        <f>'3o TRIMESTRE'!K102</f>
        <v>790</v>
      </c>
      <c r="L102" s="64">
        <f>'3o TRIMESTRE'!L102</f>
        <v>1278000</v>
      </c>
      <c r="M102" s="32">
        <f t="shared" si="6"/>
        <v>45508</v>
      </c>
      <c r="N102" s="17">
        <f>'3o TRIMESTRE'!N102</f>
        <v>0</v>
      </c>
      <c r="O102" s="64">
        <f>'3o TRIMESTRE'!O102</f>
        <v>0</v>
      </c>
      <c r="P102" s="64">
        <f>'3o TRIMESTRE'!P102</f>
        <v>0</v>
      </c>
      <c r="Q102" s="17" t="str">
        <f>'3o TRIMESTRE'!Q102</f>
        <v>3.3.90.39</v>
      </c>
      <c r="R102" s="64">
        <f>'3o TRIMESTRE'!R102+80854.6</f>
        <v>310246.18</v>
      </c>
      <c r="S102" s="64"/>
      <c r="T102" s="64">
        <f>'3o TRIMESTRE'!T102+S102</f>
        <v>229391.58</v>
      </c>
      <c r="U102" s="64">
        <f>'3o TRIMESTRE'!U102+S102</f>
        <v>229391.58</v>
      </c>
      <c r="V102" s="19" t="s">
        <v>188</v>
      </c>
    </row>
    <row r="103" spans="1:22" ht="31.5">
      <c r="A103" s="19" t="str">
        <f>'3o TRIMESTRE'!A103</f>
        <v>CONCORRÊNCIA Licitação: 007/2021</v>
      </c>
      <c r="B103" s="19" t="str">
        <f>'3o TRIMESTRE'!B103</f>
        <v>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v>
      </c>
      <c r="C103" s="19">
        <v>16</v>
      </c>
      <c r="D103" s="19">
        <f>'3o TRIMESTRE'!D103</f>
        <v>0</v>
      </c>
      <c r="E103" s="64">
        <f>'3o TRIMESTRE'!E103</f>
        <v>0</v>
      </c>
      <c r="F103" s="64">
        <f>'3o TRIMESTRE'!F103</f>
        <v>0</v>
      </c>
      <c r="G103" s="19" t="str">
        <f>'3o TRIMESTRE'!G103</f>
        <v>70.073.275/0001-30</v>
      </c>
      <c r="H103" s="19" t="str">
        <f>'3o TRIMESTRE'!H103</f>
        <v>GEOSISTEMAS ENGENHARIA E PLANEJAMENTO LTDA</v>
      </c>
      <c r="I103" s="17" t="str">
        <f>'3o TRIMESTRE'!I103</f>
        <v>6-033/22</v>
      </c>
      <c r="J103" s="32">
        <f>'3o TRIMESTRE'!J103</f>
        <v>44732</v>
      </c>
      <c r="K103" s="17">
        <f>'3o TRIMESTRE'!K103</f>
        <v>360</v>
      </c>
      <c r="L103" s="64">
        <f>'3o TRIMESTRE'!L103</f>
        <v>1507466.22</v>
      </c>
      <c r="M103" s="32">
        <f t="shared" si="6"/>
        <v>45092</v>
      </c>
      <c r="N103" s="17">
        <f>'3o TRIMESTRE'!N103</f>
        <v>0</v>
      </c>
      <c r="O103" s="64">
        <f>'3o TRIMESTRE'!O103</f>
        <v>0</v>
      </c>
      <c r="P103" s="64">
        <f>'3o TRIMESTRE'!P103</f>
        <v>0</v>
      </c>
      <c r="Q103" s="17" t="str">
        <f>'3o TRIMESTRE'!Q103</f>
        <v>4.4.90.39</v>
      </c>
      <c r="R103" s="64">
        <f>'3o TRIMESTRE'!R103+80854.6</f>
        <v>80854.6</v>
      </c>
      <c r="S103" s="64"/>
      <c r="T103" s="64">
        <f>'3o TRIMESTRE'!T103+S103</f>
        <v>0</v>
      </c>
      <c r="U103" s="64">
        <f>'3o TRIMESTRE'!U103+S103</f>
        <v>0</v>
      </c>
      <c r="V103" s="19" t="s">
        <v>188</v>
      </c>
    </row>
    <row r="104" spans="1:22" ht="31.5">
      <c r="A104" s="19" t="str">
        <f>'3o TRIMESTRE'!A104</f>
        <v>CONCORRÊNCIA Licitação: 007/2021</v>
      </c>
      <c r="B104" s="19" t="str">
        <f>'3o TRIMESTRE'!B104</f>
        <v>CONTRATAÇÃO DE EMPESA ESPECIALIZADA DE ENGENHARIA PARA ELABORAÇÃO E READEQUAÇÃO DE PROJETOS EXECUTIVOS DE INFRAESTRUTURA URBANA, CONTEMPLANDO AS DISCIPLINAS DE GEOMETRIA, PAVIMENTAÇÃO, TERRAPLENAGEM, DRENAGEM, URBANISMO E SEUS ORÇAMENTOS DE CUSTOS PARA VIAS URBANAS DA CIDADE DO RECIFE</v>
      </c>
      <c r="C104" s="19">
        <v>17</v>
      </c>
      <c r="D104" s="19">
        <f>'3o TRIMESTRE'!D104</f>
        <v>0</v>
      </c>
      <c r="E104" s="64">
        <f>'3o TRIMESTRE'!E104</f>
        <v>0</v>
      </c>
      <c r="F104" s="64">
        <f>'3o TRIMESTRE'!F104</f>
        <v>0</v>
      </c>
      <c r="G104" s="19" t="str">
        <f>'3o TRIMESTRE'!G104</f>
        <v>70.073.275/0001-30</v>
      </c>
      <c r="H104" s="19" t="str">
        <f>'3o TRIMESTRE'!H104</f>
        <v>GEOSISTEMAS ENGENHARIA E PLANEJAMENTO LTDA</v>
      </c>
      <c r="I104" s="17" t="str">
        <f>'3o TRIMESTRE'!I104</f>
        <v>6-034/22</v>
      </c>
      <c r="J104" s="32">
        <f>'3o TRIMESTRE'!J104</f>
        <v>44732</v>
      </c>
      <c r="K104" s="17">
        <f>'3o TRIMESTRE'!K104</f>
        <v>425</v>
      </c>
      <c r="L104" s="64">
        <f>'3o TRIMESTRE'!L104</f>
        <v>2244006.22</v>
      </c>
      <c r="M104" s="32">
        <f t="shared" si="6"/>
        <v>45157</v>
      </c>
      <c r="N104" s="17">
        <f>'3o TRIMESTRE'!N104</f>
        <v>0</v>
      </c>
      <c r="O104" s="64">
        <f>'3o TRIMESTRE'!O104</f>
        <v>0</v>
      </c>
      <c r="P104" s="64">
        <f>'3o TRIMESTRE'!P104</f>
        <v>0</v>
      </c>
      <c r="Q104" s="17" t="str">
        <f>'3o TRIMESTRE'!Q104</f>
        <v>4.4.90.39</v>
      </c>
      <c r="R104" s="64">
        <f>'3o TRIMESTRE'!R104+80854.6</f>
        <v>80854.6</v>
      </c>
      <c r="S104" s="64"/>
      <c r="T104" s="64">
        <f>'3o TRIMESTRE'!T104+S104</f>
        <v>0</v>
      </c>
      <c r="U104" s="64">
        <f>'3o TRIMESTRE'!U104+S104</f>
        <v>0</v>
      </c>
      <c r="V104" s="19" t="s">
        <v>188</v>
      </c>
    </row>
    <row r="105" spans="1:22" ht="31.5">
      <c r="A105" s="19" t="str">
        <f>'3o TRIMESTRE'!A105</f>
        <v>CONCORRÊNCIA Licitação: 001/2022</v>
      </c>
      <c r="B105" s="19" t="str">
        <f>'3o TRIMESTRE'!B105</f>
        <v>SERVIÇO DE MANUTENÇÃO PREVENTIVA DO SISTEMA MACRODRENAGEM EM TODAS AS RPAS DA CIDADE DO RECIFE, LOTE I - RPA 01 E RPA 06</v>
      </c>
      <c r="C105" s="19">
        <v>18</v>
      </c>
      <c r="D105" s="19">
        <f>'3o TRIMESTRE'!D105</f>
        <v>0</v>
      </c>
      <c r="E105" s="64">
        <f>'3o TRIMESTRE'!E105</f>
        <v>0</v>
      </c>
      <c r="F105" s="64">
        <f>'3o TRIMESTRE'!F105</f>
        <v>0</v>
      </c>
      <c r="G105" s="19" t="str">
        <f>'3o TRIMESTRE'!G105</f>
        <v>01.514.128/0001-36</v>
      </c>
      <c r="H105" s="19" t="str">
        <f>'3o TRIMESTRE'!H105</f>
        <v>SCAVE SERVICOS DE ENGENHARIA E LOCACAO LTDA</v>
      </c>
      <c r="I105" s="17" t="str">
        <f>'3o TRIMESTRE'!I105</f>
        <v>6-036/22</v>
      </c>
      <c r="J105" s="32">
        <f>'3o TRIMESTRE'!J105</f>
        <v>44719</v>
      </c>
      <c r="K105" s="17">
        <f>'3o TRIMESTRE'!K105</f>
        <v>1155</v>
      </c>
      <c r="L105" s="64">
        <f>'3o TRIMESTRE'!L105</f>
        <v>7836613.59</v>
      </c>
      <c r="M105" s="32">
        <f t="shared" si="6"/>
        <v>45874</v>
      </c>
      <c r="N105" s="17">
        <f>'3o TRIMESTRE'!N105</f>
        <v>0</v>
      </c>
      <c r="O105" s="64">
        <f>'3o TRIMESTRE'!O105</f>
        <v>0</v>
      </c>
      <c r="P105" s="64">
        <f>'3o TRIMESTRE'!P105</f>
        <v>0</v>
      </c>
      <c r="Q105" s="17" t="str">
        <f>'3o TRIMESTRE'!Q105</f>
        <v>3.3.90.39</v>
      </c>
      <c r="R105" s="64">
        <f>'3o TRIMESTRE'!R105+80854.6</f>
        <v>1341016.28</v>
      </c>
      <c r="S105" s="64"/>
      <c r="T105" s="64">
        <f>'3o TRIMESTRE'!T105+S105</f>
        <v>668933.55</v>
      </c>
      <c r="U105" s="64">
        <f>'3o TRIMESTRE'!U105+S105</f>
        <v>668933.55</v>
      </c>
      <c r="V105" s="19" t="s">
        <v>188</v>
      </c>
    </row>
    <row r="106" spans="1:22" ht="31.5">
      <c r="A106" s="19" t="str">
        <f>'3o TRIMESTRE'!A106</f>
        <v>CONCORRÊNCIA Licitação: 001/2022</v>
      </c>
      <c r="B106" s="19" t="str">
        <f>'3o TRIMESTRE'!B106</f>
        <v>SERVIÇO DE MANUTENÇÃO PREVENTIVA DO SISTEMA MACRODRENAGEM EM TODAS AS RPAS DA CIDADE DO RECIFE, LOTE II - RPA 02 E RPA 03</v>
      </c>
      <c r="C106" s="19">
        <v>19</v>
      </c>
      <c r="D106" s="19">
        <f>'3o TRIMESTRE'!D106</f>
        <v>0</v>
      </c>
      <c r="E106" s="64">
        <f>'3o TRIMESTRE'!E106</f>
        <v>0</v>
      </c>
      <c r="F106" s="64">
        <f>'3o TRIMESTRE'!F106</f>
        <v>0</v>
      </c>
      <c r="G106" s="19" t="str">
        <f>'3o TRIMESTRE'!G106</f>
        <v>01.514.128/0001-36</v>
      </c>
      <c r="H106" s="19" t="str">
        <f>'3o TRIMESTRE'!H106</f>
        <v>SCAVE SERVICOS DE ENGENHARIA E LOCACAO LTDA</v>
      </c>
      <c r="I106" s="17" t="str">
        <f>'3o TRIMESTRE'!I106</f>
        <v>6-037/22</v>
      </c>
      <c r="J106" s="32">
        <f>'3o TRIMESTRE'!J106</f>
        <v>44719</v>
      </c>
      <c r="K106" s="17">
        <f>'3o TRIMESTRE'!K106</f>
        <v>1155</v>
      </c>
      <c r="L106" s="64">
        <f>'3o TRIMESTRE'!L106</f>
        <v>8921904</v>
      </c>
      <c r="M106" s="32">
        <f t="shared" si="6"/>
        <v>45874</v>
      </c>
      <c r="N106" s="17">
        <f>'3o TRIMESTRE'!N106</f>
        <v>0</v>
      </c>
      <c r="O106" s="64">
        <f>'3o TRIMESTRE'!O106</f>
        <v>0</v>
      </c>
      <c r="P106" s="64">
        <f>'3o TRIMESTRE'!P106</f>
        <v>0</v>
      </c>
      <c r="Q106" s="17" t="str">
        <f>'3o TRIMESTRE'!Q106</f>
        <v>3.3.90.39</v>
      </c>
      <c r="R106" s="64">
        <f>'3o TRIMESTRE'!R106+80854.6</f>
        <v>1574867.73</v>
      </c>
      <c r="S106" s="64"/>
      <c r="T106" s="64">
        <f>'3o TRIMESTRE'!T106+S106</f>
        <v>795400.27</v>
      </c>
      <c r="U106" s="64">
        <f>'3o TRIMESTRE'!U106+S106</f>
        <v>795400.27</v>
      </c>
      <c r="V106" s="19" t="s">
        <v>188</v>
      </c>
    </row>
    <row r="107" spans="1:22" ht="31.5">
      <c r="A107" s="19" t="str">
        <f>'3o TRIMESTRE'!A107</f>
        <v>CONCORRÊNCIA Licitação: 001/2022</v>
      </c>
      <c r="B107" s="19" t="str">
        <f>'3o TRIMESTRE'!B107</f>
        <v>SERVIÇO DE MANUTENÇÃO PREVENTIVA DO SISTEMA MACRODRENAGEM EM TODAS AS RPAS DA CIDADE DO RECIFE. LOTE III - RPA 04 E RPA 05</v>
      </c>
      <c r="C107" s="19">
        <v>20</v>
      </c>
      <c r="D107" s="19">
        <f>'3o TRIMESTRE'!D107</f>
        <v>0</v>
      </c>
      <c r="E107" s="64">
        <f>'3o TRIMESTRE'!E107</f>
        <v>0</v>
      </c>
      <c r="F107" s="64">
        <f>'3o TRIMESTRE'!F107</f>
        <v>0</v>
      </c>
      <c r="G107" s="19" t="str">
        <f>'3o TRIMESTRE'!G107</f>
        <v>03.951.168/0001-70</v>
      </c>
      <c r="H107" s="19" t="str">
        <f>'3o TRIMESTRE'!H107</f>
        <v>CONSTRUTORA NOVO MUNDO EIRELI</v>
      </c>
      <c r="I107" s="17" t="str">
        <f>'3o TRIMESTRE'!I107</f>
        <v>6-038/22</v>
      </c>
      <c r="J107" s="32">
        <f>'3o TRIMESTRE'!J107</f>
        <v>44719</v>
      </c>
      <c r="K107" s="17">
        <f>'3o TRIMESTRE'!K107</f>
        <v>1155</v>
      </c>
      <c r="L107" s="64">
        <f>'3o TRIMESTRE'!L107</f>
        <v>11636266.13</v>
      </c>
      <c r="M107" s="32">
        <f t="shared" si="6"/>
        <v>45874</v>
      </c>
      <c r="N107" s="17">
        <f>'3o TRIMESTRE'!N107</f>
        <v>0</v>
      </c>
      <c r="O107" s="64">
        <f>'3o TRIMESTRE'!O107</f>
        <v>0</v>
      </c>
      <c r="P107" s="64">
        <f>'3o TRIMESTRE'!P107</f>
        <v>0</v>
      </c>
      <c r="Q107" s="17" t="str">
        <f>'3o TRIMESTRE'!Q107</f>
        <v>3.3.90.39</v>
      </c>
      <c r="R107" s="64">
        <f>'3o TRIMESTRE'!R107+80854.6</f>
        <v>1623983.6</v>
      </c>
      <c r="S107" s="64"/>
      <c r="T107" s="64">
        <f>'3o TRIMESTRE'!T107+S107</f>
        <v>581664.84</v>
      </c>
      <c r="U107" s="64">
        <f>'3o TRIMESTRE'!U107+S107</f>
        <v>581664.84</v>
      </c>
      <c r="V107" s="19" t="s">
        <v>188</v>
      </c>
    </row>
    <row r="108" spans="1:22" ht="31.5">
      <c r="A108" s="19" t="str">
        <f>'3o TRIMESTRE'!A108</f>
        <v>  CONCORRÊNCIA Licitação: 004/2022</v>
      </c>
      <c r="B108" s="19" t="str">
        <f>'3o TRIMESTRE'!B108</f>
        <v>IMPLANTAÇÃO DE CICLOVIA NA AV. AGAMENON MAGALHÃES NO TRECHO COMPREENDIDO ENTRE A RUA DR. LEOPOLDO LINS, NO BAIRRO DA BOA VISTA ATÉ A AVENIDA SATURTINO DE BRITO, NO BAIRRO DO CABANGA, RECIFE PE</v>
      </c>
      <c r="C108" s="19">
        <v>21</v>
      </c>
      <c r="D108" s="19">
        <f>'3o TRIMESTRE'!D108</f>
        <v>0</v>
      </c>
      <c r="E108" s="64">
        <f>'3o TRIMESTRE'!E108</f>
        <v>0</v>
      </c>
      <c r="F108" s="64">
        <f>'3o TRIMESTRE'!F108</f>
        <v>0</v>
      </c>
      <c r="G108" s="19" t="str">
        <f>'3o TRIMESTRE'!G108</f>
        <v>11.864.311/0001-15</v>
      </c>
      <c r="H108" s="19" t="str">
        <f>'3o TRIMESTRE'!H108</f>
        <v>SBC SOCIEDADE BRASILEIRA DE CONSTRUCOES LTDA</v>
      </c>
      <c r="I108" s="17" t="str">
        <f>'3o TRIMESTRE'!I108</f>
        <v>6-039/22</v>
      </c>
      <c r="J108" s="32">
        <f>'3o TRIMESTRE'!J108</f>
        <v>44726</v>
      </c>
      <c r="K108" s="17">
        <f>'3o TRIMESTRE'!K108</f>
        <v>210</v>
      </c>
      <c r="L108" s="64">
        <f>'3o TRIMESTRE'!L108</f>
        <v>5966954.55</v>
      </c>
      <c r="M108" s="32">
        <f t="shared" si="6"/>
        <v>44936</v>
      </c>
      <c r="N108" s="17">
        <f>'3o TRIMESTRE'!N108</f>
        <v>0</v>
      </c>
      <c r="O108" s="64">
        <f>'3o TRIMESTRE'!O108</f>
        <v>0</v>
      </c>
      <c r="P108" s="64">
        <f>'3o TRIMESTRE'!P108</f>
        <v>0</v>
      </c>
      <c r="Q108" s="17" t="str">
        <f>'3o TRIMESTRE'!Q108</f>
        <v>4.4.90.39</v>
      </c>
      <c r="R108" s="64">
        <f>'3o TRIMESTRE'!R108+80854.6</f>
        <v>80854.6</v>
      </c>
      <c r="S108" s="64"/>
      <c r="T108" s="64">
        <f>'3o TRIMESTRE'!T108+S108</f>
        <v>0</v>
      </c>
      <c r="U108" s="64">
        <f>'3o TRIMESTRE'!U108+S108</f>
        <v>0</v>
      </c>
      <c r="V108" s="19" t="s">
        <v>188</v>
      </c>
    </row>
    <row r="109" spans="1:22" ht="31.5">
      <c r="A109" s="19" t="str">
        <f>'3o TRIMESTRE'!A109</f>
        <v>TOMADA DE PREÇOS Licitação: 002/2022</v>
      </c>
      <c r="B109" s="19" t="str">
        <f>'3o TRIMESTRE'!B109</f>
        <v>REQUALIFICAÇÃO DO PRÉDIO DO VELÓRIO DO CEMITÉRIO DE SANTO AMARO, LOCALIZADO NA RUA DO POMBAL, BAIRRO DE SANTO AMARO RECIFE</v>
      </c>
      <c r="C109" s="19">
        <v>22</v>
      </c>
      <c r="D109" s="19">
        <f>'3o TRIMESTRE'!D109</f>
        <v>0</v>
      </c>
      <c r="E109" s="64">
        <f>'3o TRIMESTRE'!E109</f>
        <v>0</v>
      </c>
      <c r="F109" s="64">
        <f>'3o TRIMESTRE'!F109</f>
        <v>0</v>
      </c>
      <c r="G109" s="19" t="str">
        <f>'3o TRIMESTRE'!G109</f>
        <v>10.893.105/0001-70</v>
      </c>
      <c r="H109" s="19" t="str">
        <f>'3o TRIMESTRE'!H109</f>
        <v>AGILIS CONSTRUTORA LTDA</v>
      </c>
      <c r="I109" s="17" t="str">
        <f>'3o TRIMESTRE'!I109</f>
        <v>6-043/22</v>
      </c>
      <c r="J109" s="32">
        <f>'3o TRIMESTRE'!J109</f>
        <v>44763</v>
      </c>
      <c r="K109" s="17">
        <f>'3o TRIMESTRE'!K109</f>
        <v>90</v>
      </c>
      <c r="L109" s="64">
        <f>'3o TRIMESTRE'!L109</f>
        <v>350959.89</v>
      </c>
      <c r="M109" s="32">
        <f t="shared" si="6"/>
        <v>44913</v>
      </c>
      <c r="N109" s="17">
        <f>'3o TRIMESTRE'!N109</f>
        <v>60</v>
      </c>
      <c r="O109" s="64">
        <f>'3o TRIMESTRE'!O109</f>
        <v>0</v>
      </c>
      <c r="P109" s="64">
        <f>'3o TRIMESTRE'!P109</f>
        <v>0</v>
      </c>
      <c r="Q109" s="17" t="str">
        <f>'3o TRIMESTRE'!Q109</f>
        <v>4.4.90.39</v>
      </c>
      <c r="R109" s="64">
        <f>'3o TRIMESTRE'!R109+80854.6</f>
        <v>115490.76000000001</v>
      </c>
      <c r="S109" s="64"/>
      <c r="T109" s="64">
        <f>'3o TRIMESTRE'!T109+S109</f>
        <v>0</v>
      </c>
      <c r="U109" s="64">
        <f>'3o TRIMESTRE'!U109+S109</f>
        <v>0</v>
      </c>
      <c r="V109" s="19" t="s">
        <v>188</v>
      </c>
    </row>
    <row r="110" spans="1:22" ht="31.5">
      <c r="A110" s="19" t="str">
        <f>'3o TRIMESTRE'!A110</f>
        <v>CONCORRÊNCIA Licitação: 006/2022</v>
      </c>
      <c r="B110" s="19" t="str">
        <f>'3o TRIMESTRE'!B110</f>
        <v>RECUPERAÇÃO DE CONTENÇÃO DE CANAIS, NAS DIVERSAS REGIÃO POLITICO ADMINISTRATIVA RPA'S DA CIDADE DO RECIFE</v>
      </c>
      <c r="C110" s="19">
        <v>23</v>
      </c>
      <c r="D110" s="19">
        <f>'3o TRIMESTRE'!D110</f>
        <v>0</v>
      </c>
      <c r="E110" s="64">
        <f>'3o TRIMESTRE'!E110</f>
        <v>0</v>
      </c>
      <c r="F110" s="64">
        <f>'3o TRIMESTRE'!F110</f>
        <v>0</v>
      </c>
      <c r="G110" s="19" t="str">
        <f>'3o TRIMESTRE'!G110</f>
        <v>10.811.370/0001-62</v>
      </c>
      <c r="H110" s="19" t="str">
        <f>'3o TRIMESTRE'!H110</f>
        <v>GUERRA CONSTRUCOES LTDA</v>
      </c>
      <c r="I110" s="17" t="str">
        <f>'3o TRIMESTRE'!I110</f>
        <v>6-046/22</v>
      </c>
      <c r="J110" s="32">
        <f>'3o TRIMESTRE'!J110</f>
        <v>44776</v>
      </c>
      <c r="K110" s="17">
        <f>'3o TRIMESTRE'!K110</f>
        <v>600</v>
      </c>
      <c r="L110" s="64">
        <f>'3o TRIMESTRE'!L110</f>
        <v>6573647.89</v>
      </c>
      <c r="M110" s="32">
        <f t="shared" si="6"/>
        <v>45376</v>
      </c>
      <c r="N110" s="17">
        <f>'3o TRIMESTRE'!N110</f>
        <v>0</v>
      </c>
      <c r="O110" s="64">
        <f>'3o TRIMESTRE'!O110</f>
        <v>0</v>
      </c>
      <c r="P110" s="64">
        <f>'3o TRIMESTRE'!P110</f>
        <v>0</v>
      </c>
      <c r="Q110" s="17" t="str">
        <f>'3o TRIMESTRE'!Q110</f>
        <v>4.4.90.39</v>
      </c>
      <c r="R110" s="64">
        <f>'3o TRIMESTRE'!R110+80854.6</f>
        <v>694233.71</v>
      </c>
      <c r="S110" s="64"/>
      <c r="T110" s="64">
        <f>'3o TRIMESTRE'!T110+S110</f>
        <v>613379.11</v>
      </c>
      <c r="U110" s="64">
        <f>'3o TRIMESTRE'!U110+S110</f>
        <v>613379.11</v>
      </c>
      <c r="V110" s="19" t="s">
        <v>188</v>
      </c>
    </row>
    <row r="111" spans="1:22" ht="31.5">
      <c r="A111" s="19" t="str">
        <f>'3o TRIMESTRE'!A111</f>
        <v>CONCORRÊNCIA Licitação: 005/2022</v>
      </c>
      <c r="B111" s="19" t="str">
        <f>'3o TRIMESTRE'!B111</f>
        <v>CONTRATAÇÃO DE EMPRESA DE ENGENHARIA ESPECIALIZADA EM ILUMINAÇÃO PÚBLICA PARA FORNECIMENTO E INSTALAÇÃO DE SISTEMA DE PROTEÇÃO CONTRA VAZAMENTO DE CORRENTE E ATERRAMENTO NOS POSTES EXCLUSIVOS DE ILUMINAÇÃO PÚBLICA NA CIDADE DO RECIFE/PE</v>
      </c>
      <c r="C111" s="19">
        <v>24</v>
      </c>
      <c r="D111" s="19">
        <f>'3o TRIMESTRE'!D111</f>
        <v>0</v>
      </c>
      <c r="E111" s="64">
        <f>'3o TRIMESTRE'!E111</f>
        <v>0</v>
      </c>
      <c r="F111" s="64">
        <f>'3o TRIMESTRE'!F111</f>
        <v>0</v>
      </c>
      <c r="G111" s="19" t="str">
        <f>'3o TRIMESTRE'!G111</f>
        <v>41.116.138/0001-38</v>
      </c>
      <c r="H111" s="19" t="str">
        <f>'3o TRIMESTRE'!H111</f>
        <v>REAL ENERGY LTDA</v>
      </c>
      <c r="I111" s="17" t="str">
        <f>'3o TRIMESTRE'!I111</f>
        <v>6-047/22</v>
      </c>
      <c r="J111" s="32">
        <f>'3o TRIMESTRE'!J111</f>
        <v>44774</v>
      </c>
      <c r="K111" s="17">
        <f>'3o TRIMESTRE'!K111</f>
        <v>760</v>
      </c>
      <c r="L111" s="64">
        <f>'3o TRIMESTRE'!L111</f>
        <v>3890767.22</v>
      </c>
      <c r="M111" s="32">
        <f t="shared" si="6"/>
        <v>45534</v>
      </c>
      <c r="N111" s="17">
        <f>'3o TRIMESTRE'!N111</f>
        <v>0</v>
      </c>
      <c r="O111" s="64">
        <f>'3o TRIMESTRE'!O111</f>
        <v>0</v>
      </c>
      <c r="P111" s="64">
        <f>'3o TRIMESTRE'!P111</f>
        <v>0</v>
      </c>
      <c r="Q111" s="17" t="str">
        <f>'3o TRIMESTRE'!Q111</f>
        <v>3.3.90.39</v>
      </c>
      <c r="R111" s="64">
        <f>'3o TRIMESTRE'!R111+80854.6</f>
        <v>80854.6</v>
      </c>
      <c r="S111" s="64"/>
      <c r="T111" s="64">
        <f>'3o TRIMESTRE'!T111+S111</f>
        <v>0</v>
      </c>
      <c r="U111" s="64">
        <f>'3o TRIMESTRE'!U111+S111</f>
        <v>0</v>
      </c>
      <c r="V111" s="19" t="s">
        <v>188</v>
      </c>
    </row>
    <row r="112" spans="1:22" ht="31.5">
      <c r="A112" s="19" t="str">
        <f>'3o TRIMESTRE'!A112</f>
        <v>PREGÃO ELETRÔNICO Licitação: 012/2022</v>
      </c>
      <c r="B112" s="19" t="str">
        <f>'3o TRIMESTRE'!B112</f>
        <v>CONTRATAÇÃO DE EMPRESA DE ENGENHARIA ESPECIALIZADA EM ILUMINAÇÃO PÚBLICA, PARA EXECUÇÃO DOS SERVIÇOS DE MANUTENÇÃO CONTÍNUA, CORRETIVA E PREVENTIVA, DO SISTEMA DE ILUMINAÇÃO PÚBLICA ESPECIAL DA CIDADE DO RECIFE, EM POSTES ACIMA DE 12 METROS DE ALTURA</v>
      </c>
      <c r="C112" s="19">
        <v>25</v>
      </c>
      <c r="D112" s="19">
        <f>'3o TRIMESTRE'!D112</f>
        <v>0</v>
      </c>
      <c r="E112" s="64">
        <f>'3o TRIMESTRE'!E112</f>
        <v>0</v>
      </c>
      <c r="F112" s="64">
        <f>'3o TRIMESTRE'!F112</f>
        <v>0</v>
      </c>
      <c r="G112" s="19" t="str">
        <f>'3o TRIMESTRE'!G112</f>
        <v>32.185.141/0001-12</v>
      </c>
      <c r="H112" s="19" t="str">
        <f>'3o TRIMESTRE'!H112</f>
        <v>CASTRO &amp; ROCHA LTDA</v>
      </c>
      <c r="I112" s="17" t="str">
        <f>'3o TRIMESTRE'!I112</f>
        <v>6-048/22</v>
      </c>
      <c r="J112" s="32">
        <f>'3o TRIMESTRE'!J112</f>
        <v>44776</v>
      </c>
      <c r="K112" s="17">
        <f>'3o TRIMESTRE'!K112</f>
        <v>790</v>
      </c>
      <c r="L112" s="64">
        <f>'3o TRIMESTRE'!L112</f>
        <v>2538999.92</v>
      </c>
      <c r="M112" s="32">
        <f t="shared" si="6"/>
        <v>45566</v>
      </c>
      <c r="N112" s="17">
        <f>'3o TRIMESTRE'!N112</f>
        <v>0</v>
      </c>
      <c r="O112" s="64">
        <f>'3o TRIMESTRE'!O112</f>
        <v>0</v>
      </c>
      <c r="P112" s="64">
        <f>'3o TRIMESTRE'!P112</f>
        <v>0</v>
      </c>
      <c r="Q112" s="17" t="str">
        <f>'3o TRIMESTRE'!Q112</f>
        <v>3.3.90.39</v>
      </c>
      <c r="R112" s="64">
        <f>'3o TRIMESTRE'!R112+80854.6</f>
        <v>80854.6</v>
      </c>
      <c r="S112" s="64"/>
      <c r="T112" s="64">
        <f>'3o TRIMESTRE'!T112+S112</f>
        <v>0</v>
      </c>
      <c r="U112" s="64">
        <f>'3o TRIMESTRE'!U112+S112</f>
        <v>0</v>
      </c>
      <c r="V112" s="19" t="s">
        <v>188</v>
      </c>
    </row>
    <row r="113" spans="1:22" ht="31.5">
      <c r="A113" s="19" t="str">
        <f>'3o TRIMESTRE'!A113</f>
        <v>PREGÃO ELETRÔNICO Licitação: 001/2022</v>
      </c>
      <c r="B113" s="19" t="str">
        <f>'3o TRIMESTRE'!B113</f>
        <v>CONTRATAÇÃO DE PESSOA JURÍDICA ESPECIALIZADA EM ENGENHARIA SANITÁRIA PARA RECEBIMENTO, TRATAMENTO E DISPOSIÇÃO FINAL DE RESÍDUOS SÓLIDOS URBANOS CLASSE IIA E CLASSE IIB COLETADOS PELA EMLURB NO MUNICÍPIO DE RECIFE, NOS LOTES ABAIXO ESPECIFICADOS E SUAS RESPECTIVAS QUANTIDADES ESTIMATIVAS. LOTE I</v>
      </c>
      <c r="C113" s="19">
        <v>26</v>
      </c>
      <c r="D113" s="19">
        <f>'3o TRIMESTRE'!D113</f>
        <v>0</v>
      </c>
      <c r="E113" s="64">
        <f>'3o TRIMESTRE'!E113</f>
        <v>0</v>
      </c>
      <c r="F113" s="64">
        <f>'3o TRIMESTRE'!F113</f>
        <v>0</v>
      </c>
      <c r="G113" s="19" t="str">
        <f>'3o TRIMESTRE'!G113</f>
        <v>03.279.285/0027-79</v>
      </c>
      <c r="H113" s="19" t="str">
        <f>'3o TRIMESTRE'!H113</f>
        <v>ORIZON MEIO AMBIENTE S.A.</v>
      </c>
      <c r="I113" s="17" t="str">
        <f>'3o TRIMESTRE'!I113</f>
        <v>6-049/22</v>
      </c>
      <c r="J113" s="32">
        <f>'3o TRIMESTRE'!J113</f>
        <v>44775</v>
      </c>
      <c r="K113" s="17">
        <f>'3o TRIMESTRE'!K113</f>
        <v>425</v>
      </c>
      <c r="L113" s="64">
        <f>'3o TRIMESTRE'!L113</f>
        <v>50446292</v>
      </c>
      <c r="M113" s="32">
        <f t="shared" si="6"/>
        <v>45200</v>
      </c>
      <c r="N113" s="17">
        <f>'3o TRIMESTRE'!N113</f>
        <v>0</v>
      </c>
      <c r="O113" s="64">
        <f>'3o TRIMESTRE'!O113</f>
        <v>0</v>
      </c>
      <c r="P113" s="64">
        <f>'3o TRIMESTRE'!P113</f>
        <v>0</v>
      </c>
      <c r="Q113" s="17" t="str">
        <f>'3o TRIMESTRE'!Q113</f>
        <v>3.3.90.39</v>
      </c>
      <c r="R113" s="64">
        <f>'3o TRIMESTRE'!R113+80854.6</f>
        <v>3984295.06</v>
      </c>
      <c r="S113" s="64"/>
      <c r="T113" s="64">
        <f>'3o TRIMESTRE'!T113+S113</f>
        <v>3903440.46</v>
      </c>
      <c r="U113" s="64">
        <f>'3o TRIMESTRE'!U113+S113</f>
        <v>3903440.46</v>
      </c>
      <c r="V113" s="19" t="s">
        <v>188</v>
      </c>
    </row>
    <row r="114" spans="1:22" ht="31.5">
      <c r="A114" s="19" t="str">
        <f>'3o TRIMESTRE'!A114</f>
        <v>PREGÃO ELETRÔNICO Licitação: 001/2022</v>
      </c>
      <c r="B114" s="19" t="str">
        <f>'3o TRIMESTRE'!B114</f>
        <v>CONTRATAÇÃO DE PESSOA JURÍDICA ESPECIALIZADA EM ENGENHARIA SANITÁRIA PARA RECEBIMENTO, TRATAMENTO E DISPOSIÇÃO FINAL DE RESÍDUOS SÓLIDOS URBANOS CLASSE IIA E CLASSE IIB COLETADOS PELA EMLURB NO MUNICÍPIO DE RECIFE, NOS LOTES ABAIXO ESPECIFICADOS E SUAS RESPECTIVAS QUANTIDADES ESTIMATIVAS. LOTE II</v>
      </c>
      <c r="C114" s="19">
        <v>27</v>
      </c>
      <c r="D114" s="19">
        <f>'3o TRIMESTRE'!D114</f>
        <v>0</v>
      </c>
      <c r="E114" s="64">
        <f>'3o TRIMESTRE'!E114</f>
        <v>0</v>
      </c>
      <c r="F114" s="64">
        <f>'3o TRIMESTRE'!F114</f>
        <v>0</v>
      </c>
      <c r="G114" s="19" t="str">
        <f>'3o TRIMESTRE'!G114</f>
        <v>03.279.285/0027-79</v>
      </c>
      <c r="H114" s="19" t="str">
        <f>'3o TRIMESTRE'!H114</f>
        <v>ORIZON MEIO AMBIENTE S.A.</v>
      </c>
      <c r="I114" s="17" t="str">
        <f>'3o TRIMESTRE'!I114</f>
        <v>6-050/22</v>
      </c>
      <c r="J114" s="32">
        <f>'3o TRIMESTRE'!J114</f>
        <v>44775</v>
      </c>
      <c r="K114" s="17">
        <f>'3o TRIMESTRE'!K114</f>
        <v>425</v>
      </c>
      <c r="L114" s="64">
        <f>'3o TRIMESTRE'!L114</f>
        <v>12552600</v>
      </c>
      <c r="M114" s="32">
        <f t="shared" si="6"/>
        <v>45200</v>
      </c>
      <c r="N114" s="17">
        <f>'3o TRIMESTRE'!N114</f>
        <v>0</v>
      </c>
      <c r="O114" s="64">
        <f>'3o TRIMESTRE'!O114</f>
        <v>0</v>
      </c>
      <c r="P114" s="64">
        <f>'3o TRIMESTRE'!P114</f>
        <v>0</v>
      </c>
      <c r="Q114" s="17" t="str">
        <f>'3o TRIMESTRE'!Q114</f>
        <v>3.3.90.39</v>
      </c>
      <c r="R114" s="64">
        <f>'3o TRIMESTRE'!R114+80854.6</f>
        <v>1073090.05</v>
      </c>
      <c r="S114" s="64"/>
      <c r="T114" s="64">
        <f>'3o TRIMESTRE'!T114+S114</f>
        <v>992235.45</v>
      </c>
      <c r="U114" s="64">
        <f>'3o TRIMESTRE'!U114+S114</f>
        <v>992235.45</v>
      </c>
      <c r="V114" s="19" t="s">
        <v>188</v>
      </c>
    </row>
    <row r="115" spans="1:22" ht="31.5">
      <c r="A115" s="19" t="str">
        <f>'3o TRIMESTRE'!A115</f>
        <v>PREGÃO ELETRÔNICO Licitação: 023/2022</v>
      </c>
      <c r="B115" s="19" t="str">
        <f>'3o TRIMESTRE'!B115</f>
        <v>CONTRATAÇÃO DE EMPRESA DE ENGENHARIA ESPECIALIZADA PARA A EXECUÇÃO DOS SERVIÇOS DE PAVIMENTAÇÃO E DRENAGEM COM A ELEVAÇÃO DE GREIDE NA AVENIDA AGAMENON MAGALHÃES, NO TRECHO ENTRE PARQUE AMORIM E A MC DONALD'S, BAIRRO DAS GRAÇAS, RECIFE/PE</v>
      </c>
      <c r="C115" s="19">
        <v>28</v>
      </c>
      <c r="D115" s="19">
        <f>'3o TRIMESTRE'!D115</f>
        <v>0</v>
      </c>
      <c r="E115" s="64">
        <f>'3o TRIMESTRE'!E115</f>
        <v>0</v>
      </c>
      <c r="F115" s="64">
        <f>'3o TRIMESTRE'!F115</f>
        <v>0</v>
      </c>
      <c r="G115" s="19" t="str">
        <f>'3o TRIMESTRE'!G115</f>
        <v>02.724.778/0001-79</v>
      </c>
      <c r="H115" s="19" t="str">
        <f>'3o TRIMESTRE'!H115</f>
        <v>UNITERRA - UNIAO TERRAPLENAGEM E CONSTRUCOES LTDA</v>
      </c>
      <c r="I115" s="17" t="str">
        <f>'3o TRIMESTRE'!I115</f>
        <v>6-051/22</v>
      </c>
      <c r="J115" s="32">
        <f>'3o TRIMESTRE'!J115</f>
        <v>44777</v>
      </c>
      <c r="K115" s="17">
        <f>'3o TRIMESTRE'!K115</f>
        <v>90</v>
      </c>
      <c r="L115" s="64">
        <f>'3o TRIMESTRE'!L115</f>
        <v>3553996.19</v>
      </c>
      <c r="M115" s="32">
        <f t="shared" si="6"/>
        <v>44867</v>
      </c>
      <c r="N115" s="17">
        <f>'3o TRIMESTRE'!N115</f>
        <v>0</v>
      </c>
      <c r="O115" s="64">
        <f>'3o TRIMESTRE'!O115</f>
        <v>0</v>
      </c>
      <c r="P115" s="64">
        <f>'3o TRIMESTRE'!P115</f>
        <v>0</v>
      </c>
      <c r="Q115" s="17" t="str">
        <f>'3o TRIMESTRE'!Q115</f>
        <v>4.4.90.39</v>
      </c>
      <c r="R115" s="64">
        <f>'3o TRIMESTRE'!R115+80854.6</f>
        <v>80854.6</v>
      </c>
      <c r="S115" s="64"/>
      <c r="T115" s="64">
        <f>'3o TRIMESTRE'!T115+S115</f>
        <v>0</v>
      </c>
      <c r="U115" s="64">
        <f>'3o TRIMESTRE'!U115+S115</f>
        <v>0</v>
      </c>
      <c r="V115" s="19" t="s">
        <v>188</v>
      </c>
    </row>
    <row r="116" spans="1:22" ht="31.5">
      <c r="A116" s="19" t="str">
        <f>'3o TRIMESTRE'!A116</f>
        <v>PREGÃO ELETRÔNICO Licitação: 022/2022</v>
      </c>
      <c r="B116" s="19" t="str">
        <f>'3o TRIMESTRE'!B116</f>
        <v>CONTRATAÇÃO DE EMPRESA ESPECIALIZADA NO RAMO DE ENGENHARIA PARA EXECUÇÃO DE DEMOLIÇÃO E CONSTRUÇÃO DO MÓDULO 66 (GAVETAS E OSSUÁRIOS) E RECUPERAÇÃO ESTRUTURAL DO MURO DIVISA COM O IML, LOCALIZADOS NO CEMITÉRIO DE SANTO AMARO, BAIRRO DE SANTO AMARO</v>
      </c>
      <c r="C116" s="19">
        <v>29</v>
      </c>
      <c r="D116" s="19">
        <f>'3o TRIMESTRE'!D116</f>
        <v>0</v>
      </c>
      <c r="E116" s="64">
        <f>'3o TRIMESTRE'!E116</f>
        <v>0</v>
      </c>
      <c r="F116" s="64">
        <f>'3o TRIMESTRE'!F116</f>
        <v>0</v>
      </c>
      <c r="G116" s="19" t="str">
        <f>'3o TRIMESTRE'!G116</f>
        <v>34.071.337/0001-01</v>
      </c>
      <c r="H116" s="19" t="str">
        <f>'3o TRIMESTRE'!H116</f>
        <v>FONTE SOUTO CONSTRUÇÕES EIRELI</v>
      </c>
      <c r="I116" s="17" t="str">
        <f>'3o TRIMESTRE'!I116</f>
        <v>6-052/22</v>
      </c>
      <c r="J116" s="32">
        <f>'3o TRIMESTRE'!J116</f>
        <v>44782</v>
      </c>
      <c r="K116" s="17">
        <f>'3o TRIMESTRE'!K116</f>
        <v>150</v>
      </c>
      <c r="L116" s="64">
        <f>'3o TRIMESTRE'!L116</f>
        <v>274949.26</v>
      </c>
      <c r="M116" s="32">
        <f t="shared" si="6"/>
        <v>44932</v>
      </c>
      <c r="N116" s="17">
        <f>'3o TRIMESTRE'!N116</f>
        <v>0</v>
      </c>
      <c r="O116" s="64">
        <f>'3o TRIMESTRE'!O116</f>
        <v>0</v>
      </c>
      <c r="P116" s="64">
        <f>'3o TRIMESTRE'!P116</f>
        <v>0</v>
      </c>
      <c r="Q116" s="17" t="str">
        <f>'3o TRIMESTRE'!Q116</f>
        <v>4.4.90.39</v>
      </c>
      <c r="R116" s="64">
        <f>'3o TRIMESTRE'!R116+80854.6</f>
        <v>80854.6</v>
      </c>
      <c r="S116" s="64"/>
      <c r="T116" s="64">
        <f>'3o TRIMESTRE'!T116+S116</f>
        <v>0</v>
      </c>
      <c r="U116" s="64">
        <f>'3o TRIMESTRE'!U116+S116</f>
        <v>0</v>
      </c>
      <c r="V116" s="19" t="s">
        <v>188</v>
      </c>
    </row>
    <row r="117" spans="1:22" ht="31.5">
      <c r="A117" s="19" t="str">
        <f>'3o TRIMESTRE'!A117</f>
        <v>CONCORRÊNCIA Licitação: 009/2022</v>
      </c>
      <c r="B117" s="19" t="str">
        <f>'3o TRIMESTRE'!B117</f>
        <v>CONTRATAÇÃO DE EMPRESA DE ENGENHARIA PARA EXECUÇÃO DA RECUPERAÇÃO ESTRUTURAL E MANUTENÇÃO PREVENTIVA E CORRETIVA DAS TORRES DE ILUMINAÇÃO PÚBLICA DA ORLA DA AVENIDA BOA VIAGEM, RECIFE/PE</v>
      </c>
      <c r="C117" s="19">
        <v>30</v>
      </c>
      <c r="D117" s="19">
        <f>'3o TRIMESTRE'!D117</f>
        <v>0</v>
      </c>
      <c r="E117" s="64">
        <f>'3o TRIMESTRE'!E117</f>
        <v>0</v>
      </c>
      <c r="F117" s="64">
        <f>'3o TRIMESTRE'!F117</f>
        <v>0</v>
      </c>
      <c r="G117" s="19" t="str">
        <f>'3o TRIMESTRE'!G117</f>
        <v>03.834.750/0001-57</v>
      </c>
      <c r="H117" s="19" t="str">
        <f>'3o TRIMESTRE'!H117</f>
        <v>EIP SERVICOS DE ILUMINACAO LTDA</v>
      </c>
      <c r="I117" s="17" t="str">
        <f>'3o TRIMESTRE'!I117</f>
        <v>6-053/22</v>
      </c>
      <c r="J117" s="32">
        <f>'3o TRIMESTRE'!J117</f>
        <v>44785</v>
      </c>
      <c r="K117" s="17">
        <f>'3o TRIMESTRE'!K117</f>
        <v>240</v>
      </c>
      <c r="L117" s="64">
        <f>'3o TRIMESTRE'!L117</f>
        <v>661511.15</v>
      </c>
      <c r="M117" s="32">
        <f t="shared" si="6"/>
        <v>45025</v>
      </c>
      <c r="N117" s="17">
        <f>'3o TRIMESTRE'!N117</f>
        <v>0</v>
      </c>
      <c r="O117" s="64">
        <f>'3o TRIMESTRE'!O117</f>
        <v>0</v>
      </c>
      <c r="P117" s="64">
        <f>'3o TRIMESTRE'!P117</f>
        <v>0</v>
      </c>
      <c r="Q117" s="17" t="str">
        <f>'3o TRIMESTRE'!Q117</f>
        <v>4.4.90.39</v>
      </c>
      <c r="R117" s="64">
        <f>'3o TRIMESTRE'!R117+80854.6</f>
        <v>80854.6</v>
      </c>
      <c r="S117" s="64"/>
      <c r="T117" s="64">
        <f>'3o TRIMESTRE'!T117+S117</f>
        <v>0</v>
      </c>
      <c r="U117" s="64">
        <f>'3o TRIMESTRE'!U117+S117</f>
        <v>0</v>
      </c>
      <c r="V117" s="19" t="s">
        <v>188</v>
      </c>
    </row>
    <row r="118" spans="1:22" ht="31.5">
      <c r="A118" s="19" t="str">
        <f>'3o TRIMESTRE'!A118</f>
        <v>CONCORRÊNCIA Licitação: 007/2022</v>
      </c>
      <c r="B118" s="19" t="str">
        <f>'3o TRIMESTRE'!B118</f>
        <v>CONTRATAÇÃO DE EMPRESA DE ENGENHARIA ESPECIALIZADA EM ILUMINAÇÃO PÚBLICA, PARA FORNECIMENTO E INSTALAÇÃO DE LUMINÁRIAS RGB COM TECNOLOGIA LED E REDE ELÉTRICA, PARA ILUMINAÇÃO CÊNICA DO PARQUE DAS ESCULTURAS DE BRENNAND</v>
      </c>
      <c r="C118" s="19">
        <v>31</v>
      </c>
      <c r="D118" s="19">
        <f>'3o TRIMESTRE'!D118</f>
        <v>0</v>
      </c>
      <c r="E118" s="64">
        <f>'3o TRIMESTRE'!E118</f>
        <v>0</v>
      </c>
      <c r="F118" s="64">
        <f>'3o TRIMESTRE'!F118</f>
        <v>0</v>
      </c>
      <c r="G118" s="19" t="str">
        <f>'3o TRIMESTRE'!G118</f>
        <v>41.116.138/0001-38</v>
      </c>
      <c r="H118" s="19" t="str">
        <f>'3o TRIMESTRE'!H118</f>
        <v>REAL ENERGY LTDA</v>
      </c>
      <c r="I118" s="17" t="str">
        <f>'3o TRIMESTRE'!I118</f>
        <v>6-054/22</v>
      </c>
      <c r="J118" s="32">
        <f>'3o TRIMESTRE'!J118</f>
        <v>44799</v>
      </c>
      <c r="K118" s="17">
        <f>'3o TRIMESTRE'!K118</f>
        <v>390</v>
      </c>
      <c r="L118" s="64">
        <f>'3o TRIMESTRE'!L118</f>
        <v>1839293.99</v>
      </c>
      <c r="M118" s="32">
        <f t="shared" si="6"/>
        <v>45189</v>
      </c>
      <c r="N118" s="17">
        <f>'3o TRIMESTRE'!N118</f>
        <v>0</v>
      </c>
      <c r="O118" s="64">
        <f>'3o TRIMESTRE'!O118</f>
        <v>0</v>
      </c>
      <c r="P118" s="64">
        <f>'3o TRIMESTRE'!P118</f>
        <v>0</v>
      </c>
      <c r="Q118" s="17" t="str">
        <f>'3o TRIMESTRE'!Q118</f>
        <v>4.4.90.39</v>
      </c>
      <c r="R118" s="64">
        <f>'3o TRIMESTRE'!R118+80854.6</f>
        <v>80854.6</v>
      </c>
      <c r="S118" s="64"/>
      <c r="T118" s="64">
        <f>'3o TRIMESTRE'!T118+S118</f>
        <v>0</v>
      </c>
      <c r="U118" s="64">
        <f>'3o TRIMESTRE'!U118+S118</f>
        <v>0</v>
      </c>
      <c r="V118" s="19" t="s">
        <v>188</v>
      </c>
    </row>
    <row r="119" spans="1:22" ht="31.5">
      <c r="A119" s="19" t="str">
        <f>'3o TRIMESTRE'!A119</f>
        <v>CONCORRÊNCIA Licitação: 010/2022</v>
      </c>
      <c r="B119" s="19" t="str">
        <f>'3o TRIMESTRE'!B119</f>
        <v>ERVIÇOS DE IMPLANTAÇÃO DE DRENAGEM E PAVIMENTAÇÃO NA RUA TABELIÃO JOÃO ROMA, BAIRRO DA VÁRZEA CAXANGÁ</v>
      </c>
      <c r="C119" s="19">
        <v>32</v>
      </c>
      <c r="D119" s="19">
        <f>'3o TRIMESTRE'!D119</f>
        <v>0</v>
      </c>
      <c r="E119" s="64">
        <f>'3o TRIMESTRE'!E119</f>
        <v>0</v>
      </c>
      <c r="F119" s="64">
        <f>'3o TRIMESTRE'!F119</f>
        <v>0</v>
      </c>
      <c r="G119" s="19" t="str">
        <f>'3o TRIMESTRE'!G119</f>
        <v>10.893.105/0001-70</v>
      </c>
      <c r="H119" s="19" t="str">
        <f>'3o TRIMESTRE'!H119</f>
        <v>AGILIS CONSTRUTORA LTDA</v>
      </c>
      <c r="I119" s="17" t="str">
        <f>'3o TRIMESTRE'!I119</f>
        <v>6-055/22</v>
      </c>
      <c r="J119" s="32">
        <f>'3o TRIMESTRE'!J119</f>
        <v>44799</v>
      </c>
      <c r="K119" s="17">
        <f>'3o TRIMESTRE'!K119</f>
        <v>240</v>
      </c>
      <c r="L119" s="64">
        <f>'3o TRIMESTRE'!L119</f>
        <v>2137870.29</v>
      </c>
      <c r="M119" s="32">
        <f t="shared" si="6"/>
        <v>45039</v>
      </c>
      <c r="N119" s="17">
        <f>'3o TRIMESTRE'!N119</f>
        <v>0</v>
      </c>
      <c r="O119" s="64">
        <f>'3o TRIMESTRE'!O119</f>
        <v>0</v>
      </c>
      <c r="P119" s="64">
        <f>'3o TRIMESTRE'!P119</f>
        <v>0</v>
      </c>
      <c r="Q119" s="17" t="str">
        <f>'3o TRIMESTRE'!Q119</f>
        <v>4.4.90.39</v>
      </c>
      <c r="R119" s="64">
        <f>'3o TRIMESTRE'!R119+80854.6</f>
        <v>353812.75</v>
      </c>
      <c r="S119" s="64"/>
      <c r="T119" s="64">
        <f>'3o TRIMESTRE'!T119+S119</f>
        <v>0</v>
      </c>
      <c r="U119" s="64">
        <f>'3o TRIMESTRE'!U119+S119</f>
        <v>0</v>
      </c>
      <c r="V119" s="19" t="s">
        <v>188</v>
      </c>
    </row>
    <row r="120" spans="1:22" ht="31.5">
      <c r="A120" s="19" t="str">
        <f>'3o TRIMESTRE'!A120</f>
        <v>CONCORRÊNCIA Licitação: 014/2022</v>
      </c>
      <c r="B120" s="19" t="str">
        <f>'3o TRIMESTRE'!B120</f>
        <v>SERVIÇOS DE MANUTENÇÃO DO SISTEMA DA MICRODRENAGEM DE ÁGUAS PLUVIAIS DAS RPA'S 4, 5 E 6 DA CIDADE DO RECIFE. LOTE I</v>
      </c>
      <c r="C120" s="19">
        <v>33</v>
      </c>
      <c r="D120" s="19">
        <f>'3o TRIMESTRE'!D120</f>
        <v>0</v>
      </c>
      <c r="E120" s="64">
        <f>'3o TRIMESTRE'!E120</f>
        <v>0</v>
      </c>
      <c r="F120" s="64">
        <f>'3o TRIMESTRE'!F120</f>
        <v>0</v>
      </c>
      <c r="G120" s="19" t="str">
        <f>'3o TRIMESTRE'!G120</f>
        <v>40.884.405/0001-54</v>
      </c>
      <c r="H120" s="19" t="str">
        <f>'3o TRIMESTRE'!H120</f>
        <v>LOQUIPE LOCACAO DE EQUIPAMENTOS E MAO DE OBRA LTDA</v>
      </c>
      <c r="I120" s="17" t="str">
        <f>'3o TRIMESTRE'!I120</f>
        <v>6-056/22</v>
      </c>
      <c r="J120" s="32">
        <f>'3o TRIMESTRE'!J120</f>
        <v>44802</v>
      </c>
      <c r="K120" s="17">
        <f>'3o TRIMESTRE'!K120</f>
        <v>1155</v>
      </c>
      <c r="L120" s="64">
        <f>'3o TRIMESTRE'!L120</f>
        <v>34378587.23</v>
      </c>
      <c r="M120" s="32">
        <f t="shared" si="6"/>
        <v>45957</v>
      </c>
      <c r="N120" s="17">
        <f>'3o TRIMESTRE'!N120</f>
        <v>0</v>
      </c>
      <c r="O120" s="64">
        <f>'3o TRIMESTRE'!O120</f>
        <v>0</v>
      </c>
      <c r="P120" s="64">
        <f>'3o TRIMESTRE'!P120</f>
        <v>0</v>
      </c>
      <c r="Q120" s="17" t="str">
        <f>'3o TRIMESTRE'!Q120</f>
        <v>3.3.90.39</v>
      </c>
      <c r="R120" s="64">
        <f>'3o TRIMESTRE'!R120+80854.6</f>
        <v>216153.94</v>
      </c>
      <c r="S120" s="64"/>
      <c r="T120" s="64">
        <f>'3o TRIMESTRE'!T120+S120</f>
        <v>135299.34</v>
      </c>
      <c r="U120" s="64">
        <f>'3o TRIMESTRE'!U120+S120</f>
        <v>135299.34</v>
      </c>
      <c r="V120" s="19" t="s">
        <v>188</v>
      </c>
    </row>
    <row r="121" spans="1:22" ht="31.5">
      <c r="A121" s="19" t="str">
        <f>'3o TRIMESTRE'!A121</f>
        <v>CONCORRÊNCIA Licitação: 014/2022</v>
      </c>
      <c r="B121" s="19" t="str">
        <f>'3o TRIMESTRE'!B121</f>
        <v>SERVIÇOS DE MANUTENÇÃO DO SISTEMA DA MICRODRENAGEM DE ÁGUAS PLUVIAIS DAS RPA'S 4, 5 E 6 DA CIDADE DO RECIFE. LOTE II</v>
      </c>
      <c r="C121" s="19">
        <v>34</v>
      </c>
      <c r="D121" s="19">
        <f>'3o TRIMESTRE'!D121</f>
        <v>0</v>
      </c>
      <c r="E121" s="64">
        <f>'3o TRIMESTRE'!E121</f>
        <v>0</v>
      </c>
      <c r="F121" s="64">
        <f>'3o TRIMESTRE'!F121</f>
        <v>0</v>
      </c>
      <c r="G121" s="19" t="str">
        <f>'3o TRIMESTRE'!G121</f>
        <v>10.811.370/0001-62</v>
      </c>
      <c r="H121" s="19" t="str">
        <f>'3o TRIMESTRE'!H121</f>
        <v>GUERRA CONSTRUCOES LTDA</v>
      </c>
      <c r="I121" s="17" t="str">
        <f>'3o TRIMESTRE'!I121</f>
        <v>6-057/22</v>
      </c>
      <c r="J121" s="32">
        <f>'3o TRIMESTRE'!J121</f>
        <v>44802</v>
      </c>
      <c r="K121" s="17">
        <f>'3o TRIMESTRE'!K121</f>
        <v>1155</v>
      </c>
      <c r="L121" s="64">
        <f>'3o TRIMESTRE'!L121</f>
        <v>35796096.35</v>
      </c>
      <c r="M121" s="32">
        <f t="shared" si="6"/>
        <v>45957</v>
      </c>
      <c r="N121" s="17">
        <f>'3o TRIMESTRE'!N121</f>
        <v>0</v>
      </c>
      <c r="O121" s="64">
        <f>'3o TRIMESTRE'!O121</f>
        <v>0</v>
      </c>
      <c r="P121" s="64">
        <f>'3o TRIMESTRE'!P121</f>
        <v>0</v>
      </c>
      <c r="Q121" s="17" t="str">
        <f>'3o TRIMESTRE'!Q121</f>
        <v>3.3.90.39</v>
      </c>
      <c r="R121" s="64">
        <f>'3o TRIMESTRE'!R121+80854.6</f>
        <v>184020.61</v>
      </c>
      <c r="S121" s="64"/>
      <c r="T121" s="64">
        <f>'3o TRIMESTRE'!T121+S121</f>
        <v>16066.08</v>
      </c>
      <c r="U121" s="64">
        <f>'3o TRIMESTRE'!U121+S121</f>
        <v>16066.08</v>
      </c>
      <c r="V121" s="19" t="s">
        <v>188</v>
      </c>
    </row>
    <row r="122" spans="1:22" ht="42.75">
      <c r="A122" s="19" t="str">
        <f>'3o TRIMESTRE'!A122</f>
        <v>CONCORRÊNCIA Licitação: 013/2022</v>
      </c>
      <c r="B122" s="19" t="str">
        <f>'3o TRIMESTRE'!B122</f>
        <v>REQUALIFICAÇÃO DE DRENAGEM E PAVIMENTAÇÃO DAS RUAS CASTRO ALVES, ENGENHEIRO LUIZ VAUTHIER, RUA DA CORAGEM, RUA PROFESSOR MIRANDA CURIÓ E RUA DONA JULIETA, LOCALIZADAS NO BAIRRO DA ENCRUZILHADA</v>
      </c>
      <c r="C122" s="19">
        <v>35</v>
      </c>
      <c r="D122" s="19">
        <f>'3o TRIMESTRE'!D122</f>
        <v>0</v>
      </c>
      <c r="E122" s="64">
        <f>'3o TRIMESTRE'!E122</f>
        <v>0</v>
      </c>
      <c r="F122" s="64">
        <f>'3o TRIMESTRE'!F122</f>
        <v>0</v>
      </c>
      <c r="G122" s="19" t="str">
        <f>'3o TRIMESTRE'!G122</f>
        <v>11.481.173/0001-95</v>
      </c>
      <c r="H122" s="19" t="str">
        <f>'3o TRIMESTRE'!H122</f>
        <v>ETNA ENGENHARIA E TERRAPLANAGEM NACIONAL LTDA</v>
      </c>
      <c r="I122" s="17" t="str">
        <f>'3o TRIMESTRE'!I122</f>
        <v>6-058/22</v>
      </c>
      <c r="J122" s="32">
        <f>'3o TRIMESTRE'!J122</f>
        <v>44812</v>
      </c>
      <c r="K122" s="17">
        <f>'3o TRIMESTRE'!K122</f>
        <v>270</v>
      </c>
      <c r="L122" s="64">
        <f>'3o TRIMESTRE'!L122</f>
        <v>3825898.74</v>
      </c>
      <c r="M122" s="32">
        <f t="shared" si="6"/>
        <v>45082</v>
      </c>
      <c r="N122" s="17">
        <f>'3o TRIMESTRE'!N122</f>
        <v>0</v>
      </c>
      <c r="O122" s="64">
        <f>'3o TRIMESTRE'!O122</f>
        <v>0</v>
      </c>
      <c r="P122" s="64">
        <f>'3o TRIMESTRE'!P122</f>
        <v>0</v>
      </c>
      <c r="Q122" s="17" t="str">
        <f>'3o TRIMESTRE'!Q122</f>
        <v>4.4.90.39</v>
      </c>
      <c r="R122" s="64">
        <f>'3o TRIMESTRE'!R122</f>
        <v>0</v>
      </c>
      <c r="S122" s="64"/>
      <c r="T122" s="64">
        <f>'3o TRIMESTRE'!T122+S122</f>
        <v>0</v>
      </c>
      <c r="U122" s="64">
        <f>'3o TRIMESTRE'!U122+S122</f>
        <v>0</v>
      </c>
      <c r="V122" s="19"/>
    </row>
    <row r="123" spans="1:22" ht="42.75">
      <c r="A123" s="19" t="str">
        <f>'3o TRIMESTRE'!A123</f>
        <v>CONCORRÊNCIA Licitação: 012/2022</v>
      </c>
      <c r="B123" s="19" t="str">
        <f>'3o TRIMESTRE'!B123</f>
        <v>REQUALIFICAÇÃO DA DRENAGEM E PAVIMENTAÇÃO DA RUA IMPERIAL E DA DRENAGEM DA AV. SUL, TRECHO COMPREENDIDO ENTRE A TRAVESSA DO GASPAR E AV. DANTAS BARRETO, BAIRRO DE SÃO JOSÉ</v>
      </c>
      <c r="C123" s="19">
        <v>36</v>
      </c>
      <c r="D123" s="19">
        <f>'3o TRIMESTRE'!D123</f>
        <v>0</v>
      </c>
      <c r="E123" s="64">
        <f>'3o TRIMESTRE'!E123</f>
        <v>0</v>
      </c>
      <c r="F123" s="64">
        <f>'3o TRIMESTRE'!F123</f>
        <v>0</v>
      </c>
      <c r="G123" s="19" t="str">
        <f>'3o TRIMESTRE'!G123</f>
        <v>11.481.173/0001-95</v>
      </c>
      <c r="H123" s="19" t="str">
        <f>'3o TRIMESTRE'!H123</f>
        <v>ETNA ENGENHARIA E TERRAPLANAGEM NACIONAL LTDA</v>
      </c>
      <c r="I123" s="17" t="str">
        <f>'3o TRIMESTRE'!I123</f>
        <v>6-059/22</v>
      </c>
      <c r="J123" s="32">
        <f>'3o TRIMESTRE'!J123</f>
        <v>44803</v>
      </c>
      <c r="K123" s="17">
        <f>'3o TRIMESTRE'!K123</f>
        <v>270</v>
      </c>
      <c r="L123" s="64">
        <f>'3o TRIMESTRE'!L123</f>
        <v>8106707.08</v>
      </c>
      <c r="M123" s="32">
        <f t="shared" si="6"/>
        <v>45073</v>
      </c>
      <c r="N123" s="17">
        <f>'3o TRIMESTRE'!N123</f>
        <v>0</v>
      </c>
      <c r="O123" s="64">
        <f>'3o TRIMESTRE'!O123</f>
        <v>0</v>
      </c>
      <c r="P123" s="64">
        <f>'3o TRIMESTRE'!P123</f>
        <v>0</v>
      </c>
      <c r="Q123" s="17" t="str">
        <f>'3o TRIMESTRE'!Q123</f>
        <v>4.4.90.39</v>
      </c>
      <c r="R123" s="64">
        <f>'3o TRIMESTRE'!R123</f>
        <v>0</v>
      </c>
      <c r="S123" s="64"/>
      <c r="T123" s="64">
        <f>'3o TRIMESTRE'!T123+S123</f>
        <v>0</v>
      </c>
      <c r="U123" s="64">
        <f>'3o TRIMESTRE'!U123+S123</f>
        <v>0</v>
      </c>
      <c r="V123" s="19"/>
    </row>
    <row r="124" spans="1:22" ht="31.5">
      <c r="A124" s="19" t="str">
        <f>'3o TRIMESTRE'!A124</f>
        <v>CONCORRÊNCIA Licitação: 011/2022</v>
      </c>
      <c r="B124" s="19" t="str">
        <f>'3o TRIMESTRE'!B124</f>
        <v>REQUALIFICAÇÃO DA DRENAGEM E PAVIMENTAÇÃO DA RUA DA CONCÓRDIA, TRECHO COMPREENDIDO ENTRE A RUA MUNIZ E RUA FREI CANECA, BAIRRO DE SÃO JOSÉ</v>
      </c>
      <c r="C124" s="19">
        <v>37</v>
      </c>
      <c r="D124" s="19">
        <f>'3o TRIMESTRE'!D124</f>
        <v>0</v>
      </c>
      <c r="E124" s="64">
        <f>'3o TRIMESTRE'!E124</f>
        <v>0</v>
      </c>
      <c r="F124" s="64">
        <f>'3o TRIMESTRE'!F124</f>
        <v>0</v>
      </c>
      <c r="G124" s="19" t="str">
        <f>'3o TRIMESTRE'!G124</f>
        <v>10.811.370/0001-62</v>
      </c>
      <c r="H124" s="19" t="str">
        <f>'3o TRIMESTRE'!H124</f>
        <v>GUERRA CONSTRUCOES LTDA</v>
      </c>
      <c r="I124" s="17" t="str">
        <f>'3o TRIMESTRE'!I124</f>
        <v>6-060/22</v>
      </c>
      <c r="J124" s="32">
        <f>'3o TRIMESTRE'!J124</f>
        <v>44817</v>
      </c>
      <c r="K124" s="17">
        <f>'3o TRIMESTRE'!K124</f>
        <v>240</v>
      </c>
      <c r="L124" s="64">
        <f>'3o TRIMESTRE'!L124</f>
        <v>0</v>
      </c>
      <c r="M124" s="32">
        <f t="shared" si="6"/>
        <v>45057</v>
      </c>
      <c r="N124" s="17">
        <f>'3o TRIMESTRE'!N124</f>
        <v>0</v>
      </c>
      <c r="O124" s="64">
        <f>'3o TRIMESTRE'!O124</f>
        <v>0</v>
      </c>
      <c r="P124" s="64">
        <f>'3o TRIMESTRE'!P124</f>
        <v>0</v>
      </c>
      <c r="Q124" s="17" t="str">
        <f>'3o TRIMESTRE'!Q124</f>
        <v>4.4.90.39</v>
      </c>
      <c r="R124" s="64">
        <f>'3o TRIMESTRE'!R124</f>
        <v>0</v>
      </c>
      <c r="S124" s="64"/>
      <c r="T124" s="64">
        <f>'3o TRIMESTRE'!T124+S124</f>
        <v>0</v>
      </c>
      <c r="U124" s="64">
        <f>'3o TRIMESTRE'!U124+S124</f>
        <v>0</v>
      </c>
      <c r="V124" s="19"/>
    </row>
    <row r="125" spans="1:22" ht="63.75">
      <c r="A125" s="19" t="str">
        <f>'3o TRIMESTRE'!A125</f>
        <v>CREDENCIAMENTO Licitação: 001/2022</v>
      </c>
      <c r="B125" s="19" t="str">
        <f>'3o TRIMESTRE'!B125</f>
        <v>CREDENCIAMENTO DE EMPRESA ESPECIALIZADA EM ENGENHARIA SANITÁRIA PARA EXECUTAR OS SERVIÇOS DE RECOLHIMENTO, TRANSPORTE, TRATAMENTO E DISPOSIÇÃO FINAL AMBIENTALMENTE CORRETA DE RESÍDUO LÍQUIDO LIXIVIADO ORIUNDO DO ATERRO DESATIVADO DA MURIBECA SOB A RESPONSABILIDADE DESTA AUTARQUIA</v>
      </c>
      <c r="C125" s="19">
        <v>38</v>
      </c>
      <c r="D125" s="19">
        <f>'3o TRIMESTRE'!D125</f>
        <v>0</v>
      </c>
      <c r="E125" s="64">
        <f>'3o TRIMESTRE'!E125</f>
        <v>0</v>
      </c>
      <c r="F125" s="64">
        <f>'3o TRIMESTRE'!F125</f>
        <v>0</v>
      </c>
      <c r="G125" s="19" t="str">
        <f>'3o TRIMESTRE'!G125</f>
        <v>03.279.285/0027-79</v>
      </c>
      <c r="H125" s="19" t="str">
        <f>'3o TRIMESTRE'!H125</f>
        <v>ORIZON MEIO AMBIENTE S.A.</v>
      </c>
      <c r="I125" s="17" t="str">
        <f>'3o TRIMESTRE'!I125</f>
        <v>6-061/22</v>
      </c>
      <c r="J125" s="32">
        <f>'3o TRIMESTRE'!J125</f>
        <v>0</v>
      </c>
      <c r="K125" s="17">
        <f>'3o TRIMESTRE'!K125</f>
        <v>365</v>
      </c>
      <c r="L125" s="64">
        <f>'3o TRIMESTRE'!L125</f>
        <v>2031400</v>
      </c>
      <c r="M125" s="32">
        <f t="shared" si="6"/>
        <v>365</v>
      </c>
      <c r="N125" s="17">
        <f>'3o TRIMESTRE'!N125</f>
        <v>0</v>
      </c>
      <c r="O125" s="64">
        <f>'3o TRIMESTRE'!O125</f>
        <v>0</v>
      </c>
      <c r="P125" s="64">
        <f>'3o TRIMESTRE'!P125</f>
        <v>0</v>
      </c>
      <c r="Q125" s="17" t="str">
        <f>'3o TRIMESTRE'!Q125</f>
        <v>3.3.90.39</v>
      </c>
      <c r="R125" s="64">
        <f>'3o TRIMESTRE'!R125</f>
        <v>0</v>
      </c>
      <c r="S125" s="64"/>
      <c r="T125" s="64">
        <f>'3o TRIMESTRE'!T125+S125</f>
        <v>0</v>
      </c>
      <c r="U125" s="64">
        <f>'3o TRIMESTRE'!U125+S125</f>
        <v>0</v>
      </c>
      <c r="V125" s="19"/>
    </row>
    <row r="126" spans="1:22" ht="42.75">
      <c r="A126" s="19" t="str">
        <f>'3o TRIMESTRE'!A126</f>
        <v>TOMADA DE PREÇOS Licitação: 004/2022</v>
      </c>
      <c r="B126" s="19" t="str">
        <f>'3o TRIMESTRE'!B126</f>
        <v>CONTRATAÇÃO DE EMPRESA ESPECIALIZADA NO RAMO DE ENGENHARIA PARA EXECUÇÃO DOS SERVIÇOS DE IMPLEMENTAÇÃO DE PRAÇA PARA A INFÂNCIA NA PRAÇA DOM MIGUEL VALVERDE, ENCRUZILHADA - RECIFE/PE</v>
      </c>
      <c r="C126" s="19">
        <v>39</v>
      </c>
      <c r="D126" s="19">
        <f>'3o TRIMESTRE'!D126</f>
        <v>0</v>
      </c>
      <c r="E126" s="64">
        <f>'3o TRIMESTRE'!E126</f>
        <v>0</v>
      </c>
      <c r="F126" s="64">
        <f>'3o TRIMESTRE'!F126</f>
        <v>0</v>
      </c>
      <c r="G126" s="19" t="str">
        <f>'3o TRIMESTRE'!G126</f>
        <v>08.135.535/0001-81</v>
      </c>
      <c r="H126" s="19" t="str">
        <f>'3o TRIMESTRE'!H126</f>
        <v>CONSTRUTORA FJ LTDA</v>
      </c>
      <c r="I126" s="17" t="str">
        <f>'3o TRIMESTRE'!I126</f>
        <v>6-062/22</v>
      </c>
      <c r="J126" s="32">
        <f>'3o TRIMESTRE'!J126</f>
        <v>0</v>
      </c>
      <c r="K126" s="17">
        <f>'3o TRIMESTRE'!K126</f>
        <v>150</v>
      </c>
      <c r="L126" s="64">
        <f>'3o TRIMESTRE'!L126</f>
        <v>1597706.7</v>
      </c>
      <c r="M126" s="32">
        <f t="shared" si="6"/>
        <v>150</v>
      </c>
      <c r="N126" s="17">
        <f>'3o TRIMESTRE'!N126</f>
        <v>0</v>
      </c>
      <c r="O126" s="64">
        <f>'3o TRIMESTRE'!O126</f>
        <v>0</v>
      </c>
      <c r="P126" s="64">
        <f>'3o TRIMESTRE'!P126</f>
        <v>0</v>
      </c>
      <c r="Q126" s="17" t="str">
        <f>'3o TRIMESTRE'!Q126</f>
        <v>4.4.90.39</v>
      </c>
      <c r="R126" s="64">
        <f>'3o TRIMESTRE'!R126</f>
        <v>0</v>
      </c>
      <c r="S126" s="64"/>
      <c r="T126" s="64">
        <f>'3o TRIMESTRE'!T126+S126</f>
        <v>0</v>
      </c>
      <c r="U126" s="64">
        <f>'3o TRIMESTRE'!U126+S126</f>
        <v>0</v>
      </c>
      <c r="V126" s="19"/>
    </row>
    <row r="127" spans="1:22" ht="10.5">
      <c r="A127" s="19">
        <f>'3o TRIMESTRE'!A127</f>
        <v>0</v>
      </c>
      <c r="B127" s="19">
        <f>'3o TRIMESTRE'!B127</f>
        <v>0</v>
      </c>
      <c r="C127" s="19">
        <v>40</v>
      </c>
      <c r="D127" s="19">
        <f>'3o TRIMESTRE'!D127</f>
        <v>0</v>
      </c>
      <c r="E127" s="64">
        <f>'3o TRIMESTRE'!E127</f>
        <v>0</v>
      </c>
      <c r="F127" s="64">
        <f>'3o TRIMESTRE'!F127</f>
        <v>0</v>
      </c>
      <c r="G127" s="19">
        <f>'3o TRIMESTRE'!G127</f>
        <v>0</v>
      </c>
      <c r="H127" s="19">
        <f>'3o TRIMESTRE'!H127</f>
        <v>0</v>
      </c>
      <c r="I127" s="17"/>
      <c r="J127" s="32"/>
      <c r="K127" s="17"/>
      <c r="L127" s="64"/>
      <c r="M127" s="32"/>
      <c r="N127" s="17"/>
      <c r="O127" s="64"/>
      <c r="P127" s="64"/>
      <c r="Q127" s="17"/>
      <c r="R127" s="64">
        <f>'3o TRIMESTRE'!R127</f>
        <v>0</v>
      </c>
      <c r="S127" s="64"/>
      <c r="T127" s="64">
        <f>'3o TRIMESTRE'!T127+S127</f>
        <v>0</v>
      </c>
      <c r="U127" s="64">
        <f>'3o TRIMESTRE'!U127+S127</f>
        <v>0</v>
      </c>
      <c r="V127" s="19"/>
    </row>
    <row r="128" spans="1:22" ht="10.5">
      <c r="A128" s="19">
        <f>'3o TRIMESTRE'!A128</f>
        <v>0</v>
      </c>
      <c r="B128" s="19">
        <f>'3o TRIMESTRE'!B128</f>
        <v>0</v>
      </c>
      <c r="C128" s="19">
        <v>41</v>
      </c>
      <c r="D128" s="19">
        <f>'3o TRIMESTRE'!D128</f>
        <v>0</v>
      </c>
      <c r="E128" s="64">
        <f>'3o TRIMESTRE'!E128</f>
        <v>0</v>
      </c>
      <c r="F128" s="64">
        <f>'3o TRIMESTRE'!F128</f>
        <v>0</v>
      </c>
      <c r="G128" s="19">
        <f>'3o TRIMESTRE'!G128</f>
        <v>0</v>
      </c>
      <c r="H128" s="19">
        <f>'3o TRIMESTRE'!H128</f>
        <v>0</v>
      </c>
      <c r="I128" s="17"/>
      <c r="J128" s="32"/>
      <c r="K128" s="17"/>
      <c r="L128" s="64"/>
      <c r="M128" s="32"/>
      <c r="N128" s="17"/>
      <c r="O128" s="64"/>
      <c r="P128" s="64"/>
      <c r="Q128" s="17"/>
      <c r="R128" s="64">
        <f>'3o TRIMESTRE'!R128</f>
        <v>0</v>
      </c>
      <c r="S128" s="64"/>
      <c r="T128" s="64">
        <f>'3o TRIMESTRE'!T128+S128</f>
        <v>0</v>
      </c>
      <c r="U128" s="64">
        <f>'3o TRIMESTRE'!U128+S128</f>
        <v>0</v>
      </c>
      <c r="V128" s="19"/>
    </row>
    <row r="129" spans="1:22" ht="10.5">
      <c r="A129" s="19">
        <f>'3o TRIMESTRE'!A129</f>
        <v>0</v>
      </c>
      <c r="B129" s="19">
        <f>'3o TRIMESTRE'!B129</f>
        <v>0</v>
      </c>
      <c r="C129" s="19">
        <v>42</v>
      </c>
      <c r="D129" s="19">
        <f>'3o TRIMESTRE'!D129</f>
        <v>0</v>
      </c>
      <c r="E129" s="64">
        <f>'3o TRIMESTRE'!E129</f>
        <v>0</v>
      </c>
      <c r="F129" s="64">
        <f>'3o TRIMESTRE'!F129</f>
        <v>0</v>
      </c>
      <c r="G129" s="19">
        <f>'3o TRIMESTRE'!G129</f>
        <v>0</v>
      </c>
      <c r="H129" s="19">
        <f>'3o TRIMESTRE'!H129</f>
        <v>0</v>
      </c>
      <c r="I129" s="17"/>
      <c r="J129" s="32"/>
      <c r="K129" s="17"/>
      <c r="L129" s="64"/>
      <c r="M129" s="32"/>
      <c r="N129" s="17"/>
      <c r="O129" s="64"/>
      <c r="P129" s="64"/>
      <c r="Q129" s="17"/>
      <c r="R129" s="64">
        <f>'3o TRIMESTRE'!R129</f>
        <v>0</v>
      </c>
      <c r="S129" s="64"/>
      <c r="T129" s="64">
        <f>'3o TRIMESTRE'!T129+S129</f>
        <v>0</v>
      </c>
      <c r="U129" s="64">
        <f>'3o TRIMESTRE'!U129+S129</f>
        <v>0</v>
      </c>
      <c r="V129" s="19"/>
    </row>
    <row r="130" spans="1:22" ht="10.5">
      <c r="A130" s="19">
        <f>'3o TRIMESTRE'!A130</f>
        <v>0</v>
      </c>
      <c r="B130" s="19">
        <f>'3o TRIMESTRE'!B130</f>
        <v>0</v>
      </c>
      <c r="C130" s="19">
        <v>43</v>
      </c>
      <c r="D130" s="19">
        <f>'3o TRIMESTRE'!D130</f>
        <v>0</v>
      </c>
      <c r="E130" s="64">
        <f>'3o TRIMESTRE'!E130</f>
        <v>0</v>
      </c>
      <c r="F130" s="64">
        <f>'3o TRIMESTRE'!F130</f>
        <v>0</v>
      </c>
      <c r="G130" s="19">
        <f>'3o TRIMESTRE'!G130</f>
        <v>0</v>
      </c>
      <c r="H130" s="19">
        <f>'3o TRIMESTRE'!H130</f>
        <v>0</v>
      </c>
      <c r="I130" s="17"/>
      <c r="J130" s="32"/>
      <c r="K130" s="17"/>
      <c r="L130" s="64"/>
      <c r="M130" s="32"/>
      <c r="N130" s="17"/>
      <c r="O130" s="64"/>
      <c r="P130" s="64"/>
      <c r="Q130" s="17"/>
      <c r="R130" s="64">
        <f>'3o TRIMESTRE'!R130</f>
        <v>0</v>
      </c>
      <c r="S130" s="64"/>
      <c r="T130" s="64">
        <f>'3o TRIMESTRE'!T130+S130</f>
        <v>0</v>
      </c>
      <c r="U130" s="64">
        <f>'3o TRIMESTRE'!U130+S130</f>
        <v>0</v>
      </c>
      <c r="V130" s="19"/>
    </row>
    <row r="131" spans="1:22" ht="10.5">
      <c r="A131" s="19">
        <f>'3o TRIMESTRE'!A131</f>
        <v>0</v>
      </c>
      <c r="B131" s="19">
        <f>'3o TRIMESTRE'!B131</f>
        <v>0</v>
      </c>
      <c r="C131" s="19">
        <v>44</v>
      </c>
      <c r="D131" s="19">
        <f>'3o TRIMESTRE'!D131</f>
        <v>0</v>
      </c>
      <c r="E131" s="64">
        <f>'3o TRIMESTRE'!E131</f>
        <v>0</v>
      </c>
      <c r="F131" s="64">
        <f>'3o TRIMESTRE'!F131</f>
        <v>0</v>
      </c>
      <c r="G131" s="19">
        <f>'3o TRIMESTRE'!G131</f>
        <v>0</v>
      </c>
      <c r="H131" s="19">
        <f>'3o TRIMESTRE'!H131</f>
        <v>0</v>
      </c>
      <c r="I131" s="17"/>
      <c r="J131" s="32"/>
      <c r="K131" s="17"/>
      <c r="L131" s="64"/>
      <c r="M131" s="32"/>
      <c r="N131" s="17"/>
      <c r="O131" s="64"/>
      <c r="P131" s="64"/>
      <c r="Q131" s="17"/>
      <c r="R131" s="64">
        <f>'3o TRIMESTRE'!R131</f>
        <v>0</v>
      </c>
      <c r="S131" s="64"/>
      <c r="T131" s="64">
        <f>'3o TRIMESTRE'!T131+S131</f>
        <v>0</v>
      </c>
      <c r="U131" s="64">
        <f>'3o TRIMESTRE'!U131+S131</f>
        <v>0</v>
      </c>
      <c r="V131" s="19"/>
    </row>
  </sheetData>
  <sheetProtection/>
  <autoFilter ref="A7:AC87"/>
  <mergeCells count="20">
    <mergeCell ref="A1:V1"/>
    <mergeCell ref="A2:F2"/>
    <mergeCell ref="G2:V2"/>
    <mergeCell ref="A3:F3"/>
    <mergeCell ref="G3:V3"/>
    <mergeCell ref="A5:C5"/>
    <mergeCell ref="F5:H5"/>
    <mergeCell ref="J5:O5"/>
    <mergeCell ref="Q5:V5"/>
    <mergeCell ref="J4:O4"/>
    <mergeCell ref="Q4:V4"/>
    <mergeCell ref="F4:H4"/>
    <mergeCell ref="Q6:U6"/>
    <mergeCell ref="N6:O6"/>
    <mergeCell ref="V6:V7"/>
    <mergeCell ref="A6:A7"/>
    <mergeCell ref="B6:B7"/>
    <mergeCell ref="G6:H6"/>
    <mergeCell ref="C6:F6"/>
    <mergeCell ref="I6:M6"/>
  </mergeCells>
  <printOptions/>
  <pageMargins left="0.5118110236220472" right="0.31496062992125984" top="0.3937007874015748" bottom="0.5905511811023623" header="0.31496062992125984" footer="0.31496062992125984"/>
  <pageSetup horizontalDpi="600" verticalDpi="600" orientation="landscape" paperSize="9" scale="43" r:id="rId1"/>
  <headerFooter>
    <oddHeader>&amp;R&amp;D   &amp;T</oddHeader>
    <oddFooter>&amp;CPágina &amp;P/&amp;N</oddFooter>
  </headerFooter>
</worksheet>
</file>

<file path=xl/worksheets/sheet5.xml><?xml version="1.0" encoding="utf-8"?>
<worksheet xmlns="http://schemas.openxmlformats.org/spreadsheetml/2006/main" xmlns:r="http://schemas.openxmlformats.org/officeDocument/2006/relationships">
  <dimension ref="A1:DO130"/>
  <sheetViews>
    <sheetView zoomScale="125" zoomScaleNormal="125" zoomScalePageLayoutView="0" workbookViewId="0" topLeftCell="A125">
      <selection activeCell="A130" sqref="A88:IV130"/>
    </sheetView>
  </sheetViews>
  <sheetFormatPr defaultColWidth="9.140625" defaultRowHeight="20.25" customHeight="1"/>
  <cols>
    <col min="1" max="1" width="24.28125" style="87" bestFit="1" customWidth="1"/>
    <col min="2" max="2" width="42.8515625" style="87" customWidth="1"/>
    <col min="3" max="3" width="14.421875" style="89" customWidth="1"/>
    <col min="4" max="4" width="13.8515625" style="12" customWidth="1"/>
    <col min="5" max="5" width="10.57421875" style="12" bestFit="1" customWidth="1"/>
    <col min="6" max="6" width="10.8515625" style="12" customWidth="1"/>
    <col min="7" max="7" width="13.28125" style="86" bestFit="1" customWidth="1"/>
    <col min="8" max="8" width="30.28125" style="101" bestFit="1" customWidth="1"/>
    <col min="9" max="9" width="9.8515625" style="86" bestFit="1" customWidth="1"/>
    <col min="10" max="10" width="12.8515625" style="102" hidden="1" customWidth="1"/>
    <col min="11" max="11" width="9.421875" style="86" hidden="1" customWidth="1"/>
    <col min="12" max="12" width="10.7109375" style="12" customWidth="1"/>
    <col min="13" max="13" width="8.140625" style="102" customWidth="1"/>
    <col min="14" max="14" width="9.00390625" style="86" bestFit="1" customWidth="1"/>
    <col min="15" max="16" width="11.421875" style="12" customWidth="1"/>
    <col min="17" max="17" width="8.57421875" style="86" customWidth="1"/>
    <col min="18" max="18" width="10.8515625" style="103" customWidth="1"/>
    <col min="19" max="21" width="10.8515625" style="12" customWidth="1"/>
    <col min="22" max="22" width="7.421875" style="101" bestFit="1" customWidth="1"/>
    <col min="23" max="23" width="9.140625" style="87" bestFit="1" customWidth="1"/>
    <col min="24" max="24" width="8.140625" style="25" bestFit="1" customWidth="1"/>
    <col min="25" max="25" width="13.421875" style="25" customWidth="1"/>
    <col min="26" max="26" width="13.421875" style="20" bestFit="1" customWidth="1"/>
    <col min="27" max="27" width="13.28125" style="20" customWidth="1"/>
    <col min="28" max="28" width="12.7109375" style="20" customWidth="1"/>
    <col min="29" max="29" width="13.8515625" style="87" bestFit="1" customWidth="1"/>
    <col min="30" max="30" width="13.28125" style="12" bestFit="1" customWidth="1"/>
    <col min="31" max="31" width="11.421875" style="12" customWidth="1"/>
    <col min="32" max="42" width="9.140625" style="87" customWidth="1"/>
    <col min="43" max="43" width="12.140625" style="12" bestFit="1" customWidth="1"/>
    <col min="44" max="16384" width="9.140625" style="87" customWidth="1"/>
  </cols>
  <sheetData>
    <row r="1" spans="1:26" s="20" customFormat="1" ht="20.25" customHeight="1">
      <c r="A1" s="210" t="s">
        <v>0</v>
      </c>
      <c r="B1" s="210"/>
      <c r="C1" s="210"/>
      <c r="D1" s="210"/>
      <c r="E1" s="210"/>
      <c r="F1" s="210"/>
      <c r="G1" s="210"/>
      <c r="H1" s="210"/>
      <c r="I1" s="210"/>
      <c r="J1" s="210"/>
      <c r="K1" s="210"/>
      <c r="L1" s="210"/>
      <c r="M1" s="210"/>
      <c r="N1" s="210"/>
      <c r="O1" s="210"/>
      <c r="P1" s="210"/>
      <c r="Q1" s="210"/>
      <c r="R1" s="210"/>
      <c r="S1" s="210"/>
      <c r="T1" s="210"/>
      <c r="U1" s="210"/>
      <c r="V1" s="237"/>
      <c r="W1" s="10"/>
      <c r="X1" s="13"/>
      <c r="Y1" s="9"/>
      <c r="Z1" s="9"/>
    </row>
    <row r="2" spans="1:26" s="20" customFormat="1" ht="20.25" customHeight="1">
      <c r="A2" s="221" t="s">
        <v>113</v>
      </c>
      <c r="B2" s="221"/>
      <c r="C2" s="221"/>
      <c r="D2" s="221"/>
      <c r="E2" s="221"/>
      <c r="F2" s="221"/>
      <c r="G2" s="222"/>
      <c r="H2" s="222"/>
      <c r="I2" s="222"/>
      <c r="J2" s="222"/>
      <c r="K2" s="222"/>
      <c r="L2" s="222"/>
      <c r="M2" s="222"/>
      <c r="N2" s="222"/>
      <c r="O2" s="222"/>
      <c r="P2" s="222"/>
      <c r="Q2" s="222"/>
      <c r="R2" s="222"/>
      <c r="S2" s="222"/>
      <c r="T2" s="222"/>
      <c r="U2" s="222"/>
      <c r="V2" s="238"/>
      <c r="W2" s="10"/>
      <c r="X2" s="13"/>
      <c r="Y2" s="9"/>
      <c r="Z2" s="9"/>
    </row>
    <row r="3" spans="1:26" s="20" customFormat="1" ht="20.25" customHeight="1">
      <c r="A3" s="210" t="s">
        <v>84</v>
      </c>
      <c r="B3" s="210"/>
      <c r="C3" s="210"/>
      <c r="D3" s="210"/>
      <c r="E3" s="210"/>
      <c r="F3" s="210"/>
      <c r="G3" s="222"/>
      <c r="H3" s="222"/>
      <c r="I3" s="222"/>
      <c r="J3" s="222"/>
      <c r="K3" s="222"/>
      <c r="L3" s="222"/>
      <c r="M3" s="222"/>
      <c r="N3" s="222"/>
      <c r="O3" s="222"/>
      <c r="P3" s="222"/>
      <c r="Q3" s="222"/>
      <c r="R3" s="222"/>
      <c r="S3" s="222"/>
      <c r="T3" s="222"/>
      <c r="U3" s="222"/>
      <c r="V3" s="238"/>
      <c r="W3" s="10"/>
      <c r="X3" s="13"/>
      <c r="Y3" s="9"/>
      <c r="Z3" s="9"/>
    </row>
    <row r="4" spans="1:26" s="20" customFormat="1" ht="20.25" customHeight="1">
      <c r="A4" s="70" t="s">
        <v>165</v>
      </c>
      <c r="B4" s="73"/>
      <c r="C4" s="24"/>
      <c r="D4" s="85"/>
      <c r="E4" s="56"/>
      <c r="F4" s="235" t="s">
        <v>118</v>
      </c>
      <c r="G4" s="235"/>
      <c r="H4" s="235"/>
      <c r="I4" s="11"/>
      <c r="J4" s="233" t="s">
        <v>112</v>
      </c>
      <c r="K4" s="233"/>
      <c r="L4" s="233"/>
      <c r="M4" s="233"/>
      <c r="N4" s="233"/>
      <c r="O4" s="233"/>
      <c r="P4" s="118"/>
      <c r="Q4" s="239" t="s">
        <v>112</v>
      </c>
      <c r="R4" s="239"/>
      <c r="S4" s="239"/>
      <c r="T4" s="239"/>
      <c r="U4" s="239"/>
      <c r="V4" s="240"/>
      <c r="W4" s="10"/>
      <c r="X4" s="74">
        <v>44561</v>
      </c>
      <c r="Y4" s="9"/>
      <c r="Z4" s="9"/>
    </row>
    <row r="5" spans="1:28" ht="20.25" customHeight="1">
      <c r="A5" s="210" t="s">
        <v>87</v>
      </c>
      <c r="B5" s="210"/>
      <c r="C5" s="210"/>
      <c r="D5" s="85"/>
      <c r="E5" s="85"/>
      <c r="F5" s="232" t="s">
        <v>1</v>
      </c>
      <c r="G5" s="232"/>
      <c r="H5" s="232"/>
      <c r="J5" s="236" t="s">
        <v>2</v>
      </c>
      <c r="K5" s="236"/>
      <c r="L5" s="236"/>
      <c r="M5" s="236"/>
      <c r="N5" s="236"/>
      <c r="O5" s="236"/>
      <c r="P5" s="117"/>
      <c r="Q5" s="232" t="s">
        <v>3</v>
      </c>
      <c r="R5" s="232"/>
      <c r="S5" s="232"/>
      <c r="T5" s="232"/>
      <c r="U5" s="232"/>
      <c r="V5" s="234"/>
      <c r="X5" s="30"/>
      <c r="Y5" s="88"/>
      <c r="Z5" s="27"/>
      <c r="AA5" s="27"/>
      <c r="AB5" s="27"/>
    </row>
    <row r="6" spans="1:43" s="104" customFormat="1" ht="20.25" customHeight="1">
      <c r="A6" s="203" t="s">
        <v>4</v>
      </c>
      <c r="B6" s="203" t="s">
        <v>5</v>
      </c>
      <c r="C6" s="203" t="s">
        <v>6</v>
      </c>
      <c r="D6" s="203"/>
      <c r="E6" s="203"/>
      <c r="F6" s="203"/>
      <c r="G6" s="203" t="s">
        <v>7</v>
      </c>
      <c r="H6" s="203"/>
      <c r="I6" s="203" t="s">
        <v>8</v>
      </c>
      <c r="J6" s="203"/>
      <c r="K6" s="203"/>
      <c r="L6" s="203"/>
      <c r="M6" s="203"/>
      <c r="N6" s="203" t="s">
        <v>9</v>
      </c>
      <c r="O6" s="203"/>
      <c r="P6" s="115"/>
      <c r="Q6" s="203" t="s">
        <v>11</v>
      </c>
      <c r="R6" s="203"/>
      <c r="S6" s="203"/>
      <c r="T6" s="203"/>
      <c r="U6" s="203"/>
      <c r="V6" s="231" t="s">
        <v>12</v>
      </c>
      <c r="X6" s="30"/>
      <c r="Y6" s="88"/>
      <c r="Z6" s="27"/>
      <c r="AA6" s="27"/>
      <c r="AB6" s="27"/>
      <c r="AD6" s="55"/>
      <c r="AE6" s="55"/>
      <c r="AQ6" s="55"/>
    </row>
    <row r="7" spans="1:43" s="105" customFormat="1" ht="20.25" customHeight="1">
      <c r="A7" s="203"/>
      <c r="B7" s="203"/>
      <c r="C7" s="71" t="s">
        <v>13</v>
      </c>
      <c r="D7" s="71" t="s">
        <v>14</v>
      </c>
      <c r="E7" s="71" t="s">
        <v>15</v>
      </c>
      <c r="F7" s="71" t="s">
        <v>16</v>
      </c>
      <c r="G7" s="72" t="s">
        <v>17</v>
      </c>
      <c r="H7" s="72" t="s">
        <v>18</v>
      </c>
      <c r="I7" s="109" t="s">
        <v>13</v>
      </c>
      <c r="J7" s="29" t="s">
        <v>19</v>
      </c>
      <c r="K7" s="72" t="s">
        <v>20</v>
      </c>
      <c r="L7" s="71" t="s">
        <v>21</v>
      </c>
      <c r="M7" s="29" t="s">
        <v>22</v>
      </c>
      <c r="N7" s="72" t="s">
        <v>23</v>
      </c>
      <c r="O7" s="71" t="s">
        <v>24</v>
      </c>
      <c r="P7" s="116" t="s">
        <v>272</v>
      </c>
      <c r="Q7" s="72" t="s">
        <v>25</v>
      </c>
      <c r="R7" s="71" t="s">
        <v>26</v>
      </c>
      <c r="S7" s="71" t="s">
        <v>27</v>
      </c>
      <c r="T7" s="71" t="s">
        <v>28</v>
      </c>
      <c r="U7" s="84" t="s">
        <v>29</v>
      </c>
      <c r="V7" s="231"/>
      <c r="Y7" s="28"/>
      <c r="Z7" s="30"/>
      <c r="AA7" s="30"/>
      <c r="AB7" s="30"/>
      <c r="AD7" s="106"/>
      <c r="AE7" s="106"/>
      <c r="AQ7" s="106"/>
    </row>
    <row r="8" spans="1:29" ht="20.25" customHeight="1">
      <c r="A8" s="90" t="str">
        <f>'4o TRIMESTRE'!A8</f>
        <v>PREGÃO  / Nº 14/2016</v>
      </c>
      <c r="B8" s="90" t="str">
        <f>'4o TRIMESTRE'!B8</f>
        <v>SERVIÇOS DE LIMPEZA URBANA – DESTINAÇÃO FINAL DOS RESÍDUOS SÓLIDOS </v>
      </c>
      <c r="C8" s="90">
        <f>'4o TRIMESTRE'!C8</f>
        <v>0</v>
      </c>
      <c r="D8" s="18">
        <f>'4o TRIMESTRE'!D8</f>
        <v>0</v>
      </c>
      <c r="E8" s="18">
        <f>'4o TRIMESTRE'!E8</f>
        <v>0</v>
      </c>
      <c r="F8" s="18">
        <f>'4o TRIMESTRE'!F8</f>
        <v>0</v>
      </c>
      <c r="G8" s="90" t="str">
        <f>'4o TRIMESTRE'!G8</f>
        <v>08.165.091/0002-08</v>
      </c>
      <c r="H8" s="90" t="str">
        <f>'4o TRIMESTRE'!H8</f>
        <v>ECOPESA AMBIENTAL S/A                   </v>
      </c>
      <c r="I8" s="91" t="str">
        <f>'4o TRIMESTRE'!I8</f>
        <v>6-022/16</v>
      </c>
      <c r="J8" s="92">
        <f>'4o TRIMESTRE'!J8</f>
        <v>42769</v>
      </c>
      <c r="K8" s="91">
        <f>'4o TRIMESTRE'!K8</f>
        <v>365</v>
      </c>
      <c r="L8" s="18">
        <f>'4o TRIMESTRE'!L8</f>
        <v>38286283.02</v>
      </c>
      <c r="M8" s="92">
        <f>'4o TRIMESTRE'!M8</f>
        <v>44776</v>
      </c>
      <c r="N8" s="91">
        <f>'4o TRIMESTRE'!N8</f>
        <v>1642</v>
      </c>
      <c r="O8" s="18">
        <f>'4o TRIMESTRE'!O8</f>
        <v>190010186.01999998</v>
      </c>
      <c r="P8" s="18">
        <v>81998.64</v>
      </c>
      <c r="Q8" s="91" t="str">
        <f>'4o TRIMESTRE'!Q8</f>
        <v>3.3.90.39</v>
      </c>
      <c r="R8" s="18">
        <f>'4o TRIMESTRE'!R8</f>
        <v>181424982.03</v>
      </c>
      <c r="S8" s="18">
        <f>'4o TRIMESTRE'!S8</f>
        <v>0</v>
      </c>
      <c r="T8" s="18">
        <f>'4o TRIMESTRE'!T8</f>
        <v>25710988.3</v>
      </c>
      <c r="U8" s="18">
        <f>'4o TRIMESTRE'!U8</f>
        <v>180975308.75</v>
      </c>
      <c r="V8" s="108" t="str">
        <f>'4o TRIMESTRE'!V8</f>
        <v>andamento</v>
      </c>
      <c r="W8" s="93">
        <f>R8-U8</f>
        <v>449673.2800000012</v>
      </c>
      <c r="X8" s="107" t="str">
        <f>IF(M8&gt;$X$4,"verdadeiro","Falso")</f>
        <v>verdadeiro</v>
      </c>
      <c r="Z8" s="38"/>
      <c r="AC8" s="93"/>
    </row>
    <row r="9" spans="1:29" ht="20.25" customHeight="1">
      <c r="A9" s="90" t="str">
        <f>'4o TRIMESTRE'!A9</f>
        <v>CONCORRÊNCIA 03/2016</v>
      </c>
      <c r="B9" s="90" t="str">
        <f>'4o TRIMESTRE'!B9</f>
        <v>SERVIÇOS DE APOIO TÉCNICO AO MKONITORAMENTO DAS AÇÕES DE MANUTENÇÃO DO SISTEMA VIÁRIO DA CIDADE DO RECIFE, </v>
      </c>
      <c r="C9" s="90">
        <f>'4o TRIMESTRE'!C9</f>
        <v>0</v>
      </c>
      <c r="D9" s="18">
        <f>'4o TRIMESTRE'!D9</f>
        <v>0</v>
      </c>
      <c r="E9" s="18">
        <f>'4o TRIMESTRE'!E9</f>
        <v>0</v>
      </c>
      <c r="F9" s="18">
        <f>'4o TRIMESTRE'!F9</f>
        <v>0</v>
      </c>
      <c r="G9" s="90" t="str">
        <f>'4o TRIMESTRE'!G9</f>
        <v>41.075.755/0001-32 </v>
      </c>
      <c r="H9" s="90" t="str">
        <f>'4o TRIMESTRE'!H9</f>
        <v>NORCONSULT PROJETOS E CONSULTORIA LTDA</v>
      </c>
      <c r="I9" s="91" t="str">
        <f>'4o TRIMESTRE'!I9</f>
        <v>6-023/16</v>
      </c>
      <c r="J9" s="92">
        <f>'4o TRIMESTRE'!J9</f>
        <v>42772</v>
      </c>
      <c r="K9" s="91">
        <f>'4o TRIMESTRE'!K9</f>
        <v>365</v>
      </c>
      <c r="L9" s="18">
        <f>'4o TRIMESTRE'!L9</f>
        <v>1777584.96</v>
      </c>
      <c r="M9" s="92">
        <f>'4o TRIMESTRE'!M9</f>
        <v>44597</v>
      </c>
      <c r="N9" s="91">
        <f>'4o TRIMESTRE'!N9</f>
        <v>1460</v>
      </c>
      <c r="O9" s="18">
        <f>'4o TRIMESTRE'!O9</f>
        <v>8848759.44</v>
      </c>
      <c r="P9" s="18">
        <v>0</v>
      </c>
      <c r="Q9" s="91" t="str">
        <f>'4o TRIMESTRE'!Q9</f>
        <v>3.3.90.39</v>
      </c>
      <c r="R9" s="18">
        <f>'4o TRIMESTRE'!R9</f>
        <v>6723678.390000001</v>
      </c>
      <c r="S9" s="18">
        <f>'4o TRIMESTRE'!S9</f>
        <v>0</v>
      </c>
      <c r="T9" s="18">
        <f>'4o TRIMESTRE'!T9</f>
        <v>123781.23000000001</v>
      </c>
      <c r="U9" s="18">
        <f>'4o TRIMESTRE'!U9</f>
        <v>6723678.389999999</v>
      </c>
      <c r="V9" s="108" t="str">
        <f>'4o TRIMESTRE'!V9</f>
        <v>encerrado</v>
      </c>
      <c r="W9" s="93">
        <f aca="true" t="shared" si="0" ref="W9:W72">R9-U9</f>
        <v>0</v>
      </c>
      <c r="X9" s="107" t="str">
        <f aca="true" t="shared" si="1" ref="X9:X72">IF(M9&gt;$X$4,"verdadeiro","Falso")</f>
        <v>verdadeiro</v>
      </c>
      <c r="Z9" s="38"/>
      <c r="AC9" s="93"/>
    </row>
    <row r="10" spans="1:29" ht="20.25" customHeight="1">
      <c r="A10" s="90" t="str">
        <f>'4o TRIMESTRE'!A10</f>
        <v>PREGÃO  / Nº 14/2016</v>
      </c>
      <c r="B10" s="90" t="str">
        <f>'4o TRIMESTRE'!B10</f>
        <v>SERVIÇOS DE LIMPEZA URBANA – DESTINAÇÃO FINAL DOS RESÍDUOS SÓLIDOS </v>
      </c>
      <c r="C10" s="90">
        <f>'4o TRIMESTRE'!C10</f>
        <v>0</v>
      </c>
      <c r="D10" s="18">
        <f>'4o TRIMESTRE'!D10</f>
        <v>0</v>
      </c>
      <c r="E10" s="18">
        <f>'4o TRIMESTRE'!E10</f>
        <v>0</v>
      </c>
      <c r="F10" s="18">
        <f>'4o TRIMESTRE'!F10</f>
        <v>0</v>
      </c>
      <c r="G10" s="90" t="str">
        <f>'4o TRIMESTRE'!G10</f>
        <v>08.165.091/0002-08</v>
      </c>
      <c r="H10" s="90" t="str">
        <f>'4o TRIMESTRE'!H10</f>
        <v>ECOPESA AMBIENTAL S/A                   </v>
      </c>
      <c r="I10" s="91" t="str">
        <f>'4o TRIMESTRE'!I10</f>
        <v>6-024/16</v>
      </c>
      <c r="J10" s="92">
        <f>'4o TRIMESTRE'!J10</f>
        <v>42769</v>
      </c>
      <c r="K10" s="91">
        <f>'4o TRIMESTRE'!K10</f>
        <v>365</v>
      </c>
      <c r="L10" s="18">
        <f>'4o TRIMESTRE'!L10</f>
        <v>8888698.49</v>
      </c>
      <c r="M10" s="92">
        <f>'4o TRIMESTRE'!M10</f>
        <v>44776</v>
      </c>
      <c r="N10" s="91">
        <f>'4o TRIMESTRE'!N10</f>
        <v>1642</v>
      </c>
      <c r="O10" s="18">
        <f>'4o TRIMESTRE'!O10</f>
        <v>43850158.57</v>
      </c>
      <c r="P10" s="18">
        <v>-111435.77</v>
      </c>
      <c r="Q10" s="91" t="str">
        <f>'4o TRIMESTRE'!Q10</f>
        <v>3.3.90.39</v>
      </c>
      <c r="R10" s="18">
        <f>'4o TRIMESTRE'!R10</f>
        <v>42836389.18000001</v>
      </c>
      <c r="S10" s="18">
        <f>'4o TRIMESTRE'!S10</f>
        <v>0</v>
      </c>
      <c r="T10" s="18">
        <f>'4o TRIMESTRE'!T10</f>
        <v>6320341.2299999995</v>
      </c>
      <c r="U10" s="18">
        <f>'4o TRIMESTRE'!U10</f>
        <v>42836399.46000001</v>
      </c>
      <c r="V10" s="108" t="str">
        <f>'4o TRIMESTRE'!V10</f>
        <v>andamento</v>
      </c>
      <c r="W10" s="93">
        <f t="shared" si="0"/>
        <v>-10.280000001192093</v>
      </c>
      <c r="X10" s="107" t="str">
        <f t="shared" si="1"/>
        <v>verdadeiro</v>
      </c>
      <c r="Z10" s="38"/>
      <c r="AC10" s="93"/>
    </row>
    <row r="11" spans="1:29" ht="20.25" customHeight="1">
      <c r="A11" s="90" t="str">
        <f>'4o TRIMESTRE'!A11</f>
        <v>PREGÃO PRESENCIAL/ Nº 014/2016</v>
      </c>
      <c r="B11" s="90" t="str">
        <f>'4o TRIMESTRE'!B11</f>
        <v>SERVIÇO DE LIMPEZA URBANA - DESTINAÇÃO FINAL DOS RESÍDUOS SÓLIDOS</v>
      </c>
      <c r="C11" s="90">
        <f>'4o TRIMESTRE'!C11</f>
        <v>0</v>
      </c>
      <c r="D11" s="18">
        <f>'4o TRIMESTRE'!D11</f>
        <v>0</v>
      </c>
      <c r="E11" s="18">
        <f>'4o TRIMESTRE'!E11</f>
        <v>0</v>
      </c>
      <c r="F11" s="18">
        <f>'4o TRIMESTRE'!F11</f>
        <v>0</v>
      </c>
      <c r="G11" s="90" t="str">
        <f>'4o TRIMESTRE'!G11</f>
        <v>41.116.138/0001-38</v>
      </c>
      <c r="H11" s="90" t="str">
        <f>'4o TRIMESTRE'!H11</f>
        <v>CICLO AMBIENTAL LTDA</v>
      </c>
      <c r="I11" s="91" t="str">
        <f>'4o TRIMESTRE'!I11</f>
        <v>6-025/16</v>
      </c>
      <c r="J11" s="92">
        <f>'4o TRIMESTRE'!J11</f>
        <v>42814</v>
      </c>
      <c r="K11" s="91">
        <f>'4o TRIMESTRE'!K11</f>
        <v>365</v>
      </c>
      <c r="L11" s="18">
        <f>'4o TRIMESTRE'!L11</f>
        <v>3423770.88</v>
      </c>
      <c r="M11" s="92">
        <f>'4o TRIMESTRE'!M11</f>
        <v>44959</v>
      </c>
      <c r="N11" s="91">
        <f>'4o TRIMESTRE'!N11</f>
        <v>1780</v>
      </c>
      <c r="O11" s="18">
        <f>'4o TRIMESTRE'!O11</f>
        <v>23484577.2</v>
      </c>
      <c r="P11" s="18">
        <v>-1.64</v>
      </c>
      <c r="Q11" s="91" t="str">
        <f>'4o TRIMESTRE'!Q11</f>
        <v>3.3.90.39</v>
      </c>
      <c r="R11" s="18">
        <f>'4o TRIMESTRE'!R11</f>
        <v>21047005.59</v>
      </c>
      <c r="S11" s="18">
        <f>'4o TRIMESTRE'!S11</f>
        <v>0</v>
      </c>
      <c r="T11" s="18">
        <f>'4o TRIMESTRE'!T11</f>
        <v>885906.21</v>
      </c>
      <c r="U11" s="18">
        <f>'4o TRIMESTRE'!U11</f>
        <v>21047005.59</v>
      </c>
      <c r="V11" s="108" t="s">
        <v>188</v>
      </c>
      <c r="W11" s="93">
        <f t="shared" si="0"/>
        <v>0</v>
      </c>
      <c r="X11" s="107" t="str">
        <f t="shared" si="1"/>
        <v>verdadeiro</v>
      </c>
      <c r="Z11" s="38"/>
      <c r="AC11" s="93"/>
    </row>
    <row r="12" spans="1:29" ht="20.25" customHeight="1">
      <c r="A12" s="90" t="str">
        <f>'4o TRIMESTRE'!A12</f>
        <v>TOMADA DE PREÇOS /nº 07/2016</v>
      </c>
      <c r="B12" s="90" t="str">
        <f>'4o TRIMESTRE'!B12</f>
        <v>SEVIÇOS CONTÍNUOS DE MANUTENÇÃO CORRETIVA E PREVENTIVA E EXPANSÃO DA ILUMINAÇÃO ESPECIAL NA CIDADE DO RECIFE</v>
      </c>
      <c r="C12" s="90">
        <f>'4o TRIMESTRE'!C12</f>
        <v>0</v>
      </c>
      <c r="D12" s="18">
        <f>'4o TRIMESTRE'!D12</f>
        <v>0</v>
      </c>
      <c r="E12" s="18">
        <f>'4o TRIMESTRE'!E12</f>
        <v>0</v>
      </c>
      <c r="F12" s="18">
        <f>'4o TRIMESTRE'!F12</f>
        <v>0</v>
      </c>
      <c r="G12" s="90" t="str">
        <f>'4o TRIMESTRE'!G12</f>
        <v>41.116.138/0001-38</v>
      </c>
      <c r="H12" s="90" t="str">
        <f>'4o TRIMESTRE'!H12</f>
        <v>REAL ENERGY LTDA                                            </v>
      </c>
      <c r="I12" s="91" t="str">
        <f>'4o TRIMESTRE'!I12</f>
        <v>6-002/17</v>
      </c>
      <c r="J12" s="92">
        <f>'4o TRIMESTRE'!J12</f>
        <v>42795</v>
      </c>
      <c r="K12" s="91">
        <f>'4o TRIMESTRE'!K12</f>
        <v>365</v>
      </c>
      <c r="L12" s="18">
        <f>'4o TRIMESTRE'!L12</f>
        <v>1223866.8</v>
      </c>
      <c r="M12" s="92">
        <f>'4o TRIMESTRE'!M12</f>
        <v>44710</v>
      </c>
      <c r="N12" s="91">
        <f>'4o TRIMESTRE'!N12</f>
        <v>1550</v>
      </c>
      <c r="O12" s="18">
        <f>'4o TRIMESTRE'!O12</f>
        <v>6763773.32</v>
      </c>
      <c r="P12" s="18">
        <v>2941083.2</v>
      </c>
      <c r="Q12" s="91" t="str">
        <f>'4o TRIMESTRE'!Q12</f>
        <v>3.3.90.39</v>
      </c>
      <c r="R12" s="18">
        <f>'4o TRIMESTRE'!R12</f>
        <v>7474461.2299999995</v>
      </c>
      <c r="S12" s="18">
        <f>'4o TRIMESTRE'!S12</f>
        <v>0</v>
      </c>
      <c r="T12" s="18">
        <f>'4o TRIMESTRE'!T12</f>
        <v>219564.08</v>
      </c>
      <c r="U12" s="18">
        <f>'4o TRIMESTRE'!U12</f>
        <v>6138666.410000001</v>
      </c>
      <c r="V12" s="108" t="s">
        <v>188</v>
      </c>
      <c r="W12" s="93">
        <f t="shared" si="0"/>
        <v>1335794.8199999984</v>
      </c>
      <c r="X12" s="107" t="str">
        <f t="shared" si="1"/>
        <v>verdadeiro</v>
      </c>
      <c r="Z12" s="38"/>
      <c r="AC12" s="93"/>
    </row>
    <row r="13" spans="1:29" ht="20.25" customHeight="1">
      <c r="A13" s="90" t="str">
        <f>'4o TRIMESTRE'!A13</f>
        <v> PREGÃO PRESENCIAL Licitação: 4/2017</v>
      </c>
      <c r="B13" s="90" t="str">
        <f>'4o TRIMESTRE'!B13</f>
        <v>SERVIÇOS ESPECIALIZADOS DE ENGENHARIA AGRONÔMICA COM SERVIÇOS DE MANUTENÇÃO DE ARBORETO, PARQUES, PRAÇAS E DEMAIS ÁREAS VERDES</v>
      </c>
      <c r="C13" s="90" t="str">
        <f>'4o TRIMESTRE'!C13</f>
        <v>007/2015</v>
      </c>
      <c r="D13" s="18">
        <f>'4o TRIMESTRE'!D13</f>
        <v>0</v>
      </c>
      <c r="E13" s="18">
        <f>'4o TRIMESTRE'!E13</f>
        <v>0</v>
      </c>
      <c r="F13" s="18">
        <f>'4o TRIMESTRE'!F13</f>
        <v>0</v>
      </c>
      <c r="G13" s="90" t="str">
        <f>'4o TRIMESTRE'!G13</f>
        <v>00.449.936/0001-02</v>
      </c>
      <c r="H13" s="90" t="str">
        <f>'4o TRIMESTRE'!H13</f>
        <v>ENGEMAIA E CIA LTDA</v>
      </c>
      <c r="I13" s="91" t="str">
        <f>'4o TRIMESTRE'!I13</f>
        <v>6-013/17</v>
      </c>
      <c r="J13" s="92">
        <f>'4o TRIMESTRE'!J13</f>
        <v>42940</v>
      </c>
      <c r="K13" s="91">
        <f>'4o TRIMESTRE'!K13</f>
        <v>365</v>
      </c>
      <c r="L13" s="18">
        <f>'4o TRIMESTRE'!L13</f>
        <v>11944999.92</v>
      </c>
      <c r="M13" s="92">
        <f>'4o TRIMESTRE'!M13</f>
        <v>44765</v>
      </c>
      <c r="N13" s="91">
        <f>'4o TRIMESTRE'!N13</f>
        <v>1460</v>
      </c>
      <c r="O13" s="18">
        <f>'4o TRIMESTRE'!O13</f>
        <v>60684020.43</v>
      </c>
      <c r="P13" s="18">
        <v>-0.18</v>
      </c>
      <c r="Q13" s="91" t="str">
        <f>'4o TRIMESTRE'!Q13</f>
        <v>3.3.90.39</v>
      </c>
      <c r="R13" s="18">
        <f>'4o TRIMESTRE'!R13</f>
        <v>47074444.919999994</v>
      </c>
      <c r="S13" s="18">
        <f>'4o TRIMESTRE'!S13</f>
        <v>0</v>
      </c>
      <c r="T13" s="18">
        <f>'4o TRIMESTRE'!T13</f>
        <v>6219026.84</v>
      </c>
      <c r="U13" s="18">
        <f>'4o TRIMESTRE'!U13</f>
        <v>47074444.92000001</v>
      </c>
      <c r="V13" s="108" t="str">
        <f>'4o TRIMESTRE'!V13</f>
        <v>encerrado</v>
      </c>
      <c r="W13" s="93">
        <f t="shared" si="0"/>
        <v>0</v>
      </c>
      <c r="X13" s="107" t="str">
        <f t="shared" si="1"/>
        <v>verdadeiro</v>
      </c>
      <c r="Z13" s="38"/>
      <c r="AC13" s="93"/>
    </row>
    <row r="14" spans="1:29" ht="20.25" customHeight="1">
      <c r="A14" s="90" t="str">
        <f>'4o TRIMESTRE'!A14</f>
        <v>CONCORRÊNCIA Licitação: 10/2018</v>
      </c>
      <c r="B14" s="90" t="str">
        <f>'4o TRIMESTRE'!B14</f>
        <v>SERVIÇOS DE MANUTENÇÃO PREVENTIVA DO SISTEMA DE MACRODRENAGEM EM TODAS AS RPA'S DA CIDADE DO RECIFE - RPA 01 E 06</v>
      </c>
      <c r="C14" s="90" t="str">
        <f>'4o TRIMESTRE'!C14</f>
        <v>005/2016</v>
      </c>
      <c r="D14" s="18" t="str">
        <f>'4o TRIMESTRE'!D14</f>
        <v>FINISA</v>
      </c>
      <c r="E14" s="18">
        <f>'4o TRIMESTRE'!E14</f>
        <v>184899815.11999997</v>
      </c>
      <c r="F14" s="18">
        <f>'4o TRIMESTRE'!F14</f>
        <v>0</v>
      </c>
      <c r="G14" s="90" t="str">
        <f>'4o TRIMESTRE'!G14</f>
        <v>01.514.128/0001-36</v>
      </c>
      <c r="H14" s="90" t="str">
        <f>'4o TRIMESTRE'!H14</f>
        <v>SCAVE SERVICOS DE ENGENHARIA E LOCACAO LTDA</v>
      </c>
      <c r="I14" s="91" t="str">
        <f>'4o TRIMESTRE'!I14</f>
        <v>6-017/19</v>
      </c>
      <c r="J14" s="92">
        <f>'4o TRIMESTRE'!J14</f>
        <v>43571</v>
      </c>
      <c r="K14" s="91">
        <f>'4o TRIMESTRE'!K14</f>
        <v>1125</v>
      </c>
      <c r="L14" s="18">
        <f>'4o TRIMESTRE'!L14</f>
        <v>10309281.7</v>
      </c>
      <c r="M14" s="92">
        <f>'4o TRIMESTRE'!M14</f>
        <v>44696</v>
      </c>
      <c r="N14" s="91">
        <f>'4o TRIMESTRE'!N14</f>
        <v>0</v>
      </c>
      <c r="O14" s="18">
        <f>'4o TRIMESTRE'!O14</f>
        <v>0</v>
      </c>
      <c r="P14" s="18">
        <v>-1329.02</v>
      </c>
      <c r="Q14" s="91" t="str">
        <f>'4o TRIMESTRE'!Q14</f>
        <v>4.4.90.39</v>
      </c>
      <c r="R14" s="18">
        <f>'4o TRIMESTRE'!R14</f>
        <v>6258452.369999999</v>
      </c>
      <c r="S14" s="18">
        <f>'4o TRIMESTRE'!S14</f>
        <v>0</v>
      </c>
      <c r="T14" s="18">
        <f>'4o TRIMESTRE'!T14</f>
        <v>1784003.31</v>
      </c>
      <c r="U14" s="18">
        <f>'4o TRIMESTRE'!U14</f>
        <v>6258452.370000001</v>
      </c>
      <c r="V14" s="108" t="str">
        <f>'4o TRIMESTRE'!V14</f>
        <v>encerrado</v>
      </c>
      <c r="W14" s="93">
        <f t="shared" si="0"/>
        <v>0</v>
      </c>
      <c r="X14" s="107" t="str">
        <f t="shared" si="1"/>
        <v>verdadeiro</v>
      </c>
      <c r="Z14" s="38"/>
      <c r="AC14" s="93"/>
    </row>
    <row r="15" spans="1:29" ht="20.25" customHeight="1">
      <c r="A15" s="90" t="str">
        <f>'4o TRIMESTRE'!A15</f>
        <v>CONCORRÊNCIA Licitação: 10/2018</v>
      </c>
      <c r="B15" s="90" t="str">
        <f>'4o TRIMESTRE'!B15</f>
        <v>SERVIÇOS DE MANUTENÇÃO PREVENTIVA DO SISTEMA DE MACRODRENAGEM EM TODAS AS RPA'S DA CIDADE DO RECIFE - RPA 02 e 03</v>
      </c>
      <c r="C15" s="90" t="str">
        <f>'4o TRIMESTRE'!C15</f>
        <v>007/2015 E 001/2017</v>
      </c>
      <c r="D15" s="18" t="str">
        <f>'4o TRIMESTRE'!D15</f>
        <v>FINISA</v>
      </c>
      <c r="E15" s="18">
        <f>'4o TRIMESTRE'!E15</f>
        <v>184899815.11999997</v>
      </c>
      <c r="F15" s="18">
        <f>'4o TRIMESTRE'!F15</f>
        <v>0</v>
      </c>
      <c r="G15" s="90" t="str">
        <f>'4o TRIMESTRE'!G15</f>
        <v>01.514.128/0001-36</v>
      </c>
      <c r="H15" s="90" t="str">
        <f>'4o TRIMESTRE'!H15</f>
        <v>SCAVE SERVICOS DE ENGENHARIA E LOCACAO LTDA</v>
      </c>
      <c r="I15" s="91" t="str">
        <f>'4o TRIMESTRE'!I15</f>
        <v>6-018/19</v>
      </c>
      <c r="J15" s="92">
        <f>'4o TRIMESTRE'!J15</f>
        <v>43571</v>
      </c>
      <c r="K15" s="91">
        <f>'4o TRIMESTRE'!K15</f>
        <v>1125</v>
      </c>
      <c r="L15" s="18">
        <f>'4o TRIMESTRE'!L15</f>
        <v>11446659.06</v>
      </c>
      <c r="M15" s="92">
        <f>'4o TRIMESTRE'!M15</f>
        <v>44696</v>
      </c>
      <c r="N15" s="91">
        <f>'4o TRIMESTRE'!N15</f>
        <v>0</v>
      </c>
      <c r="O15" s="18">
        <f>'4o TRIMESTRE'!O15</f>
        <v>5430.8</v>
      </c>
      <c r="P15" s="18">
        <v>25144.12</v>
      </c>
      <c r="Q15" s="91" t="str">
        <f>'4o TRIMESTRE'!Q15</f>
        <v>4.4.90.39</v>
      </c>
      <c r="R15" s="18">
        <f>'4o TRIMESTRE'!R15</f>
        <v>6500517.92</v>
      </c>
      <c r="S15" s="18">
        <f>'4o TRIMESTRE'!S15</f>
        <v>0</v>
      </c>
      <c r="T15" s="18">
        <f>'4o TRIMESTRE'!T15</f>
        <v>2064335.97</v>
      </c>
      <c r="U15" s="18">
        <f>'4o TRIMESTRE'!U15</f>
        <v>6500517.919999999</v>
      </c>
      <c r="V15" s="108" t="str">
        <f>'4o TRIMESTRE'!V15</f>
        <v>encerrado</v>
      </c>
      <c r="W15" s="93">
        <f t="shared" si="0"/>
        <v>0</v>
      </c>
      <c r="X15" s="107" t="str">
        <f t="shared" si="1"/>
        <v>verdadeiro</v>
      </c>
      <c r="Z15" s="38"/>
      <c r="AC15" s="93"/>
    </row>
    <row r="16" spans="1:29" ht="20.25" customHeight="1">
      <c r="A16" s="90" t="str">
        <f>'4o TRIMESTRE'!A16</f>
        <v>CONCORRÊNCIA Licitação: 10/2018</v>
      </c>
      <c r="B16" s="90" t="str">
        <f>'4o TRIMESTRE'!B16</f>
        <v>SERVIÇOS DE MANUTENÇÃO PREVENTIVA DO SISTEMA DE MACRODRENAGEM EM TODAS AS RPA'S DA CIDADE DO RECIFE - RPA 04, 05</v>
      </c>
      <c r="C16" s="90">
        <f>'4o TRIMESTRE'!C16</f>
        <v>0</v>
      </c>
      <c r="D16" s="18" t="str">
        <f>'4o TRIMESTRE'!D16</f>
        <v>FINISA</v>
      </c>
      <c r="E16" s="18">
        <f>'4o TRIMESTRE'!E16</f>
        <v>184899815.11999997</v>
      </c>
      <c r="F16" s="18">
        <f>'4o TRIMESTRE'!F16</f>
        <v>0</v>
      </c>
      <c r="G16" s="90" t="str">
        <f>'4o TRIMESTRE'!G16</f>
        <v>01.514.128/0001-36</v>
      </c>
      <c r="H16" s="90" t="str">
        <f>'4o TRIMESTRE'!H16</f>
        <v>SCAVE SERVICOS DE ENGENHARIA E LOCACAO LTDA</v>
      </c>
      <c r="I16" s="91" t="str">
        <f>'4o TRIMESTRE'!I16</f>
        <v>6-019/19</v>
      </c>
      <c r="J16" s="92">
        <f>'4o TRIMESTRE'!J16</f>
        <v>43571</v>
      </c>
      <c r="K16" s="91">
        <f>'4o TRIMESTRE'!K16</f>
        <v>1125</v>
      </c>
      <c r="L16" s="18">
        <f>'4o TRIMESTRE'!L16</f>
        <v>11869839.78</v>
      </c>
      <c r="M16" s="92">
        <f>'4o TRIMESTRE'!M16</f>
        <v>44741</v>
      </c>
      <c r="N16" s="91">
        <f>'4o TRIMESTRE'!N16</f>
        <v>45</v>
      </c>
      <c r="O16" s="18">
        <f>'4o TRIMESTRE'!O16</f>
        <v>310156</v>
      </c>
      <c r="P16" s="18">
        <v>-165667.95</v>
      </c>
      <c r="Q16" s="91" t="str">
        <f>'4o TRIMESTRE'!Q16</f>
        <v>4.4.90.39</v>
      </c>
      <c r="R16" s="18">
        <f>'4o TRIMESTRE'!R16</f>
        <v>9695289.049999999</v>
      </c>
      <c r="S16" s="18">
        <f>'4o TRIMESTRE'!S16</f>
        <v>0</v>
      </c>
      <c r="T16" s="18">
        <f>'4o TRIMESTRE'!T16</f>
        <v>2689195.29</v>
      </c>
      <c r="U16" s="18">
        <f>'4o TRIMESTRE'!U16</f>
        <v>9555828.56</v>
      </c>
      <c r="V16" s="108" t="str">
        <f>'4o TRIMESTRE'!V16</f>
        <v>encerrado</v>
      </c>
      <c r="W16" s="93">
        <f t="shared" si="0"/>
        <v>139460.48999999836</v>
      </c>
      <c r="X16" s="107" t="str">
        <f t="shared" si="1"/>
        <v>verdadeiro</v>
      </c>
      <c r="Z16" s="38"/>
      <c r="AC16" s="93"/>
    </row>
    <row r="17" spans="1:29" ht="20.25" customHeight="1">
      <c r="A17" s="90" t="str">
        <f>'4o TRIMESTRE'!A17</f>
        <v>CONCORRÊNCIA Licitação:    004/2019</v>
      </c>
      <c r="B17" s="90" t="str">
        <f>'4o TRIMESTRE'!B17</f>
        <v>SERVIÇOS COMPLEMENTARES DE LIMPEZA URBANA EM ÁREAS PLANAS E DE TALUDE E SERVIÇOS DE MANUTENÇÃO CONTÍNUA PREVENTIVA E CORRETIVA DA ARBORIZAÇÃO URBANA EM MORROS, INCLUINDO A LOCAÇÃO DE VEÍCULOS E EQUIPAMENTOS.</v>
      </c>
      <c r="C17" s="90">
        <f>'4o TRIMESTRE'!C17</f>
        <v>0</v>
      </c>
      <c r="D17" s="18">
        <f>'4o TRIMESTRE'!D17</f>
        <v>0</v>
      </c>
      <c r="E17" s="18">
        <f>'4o TRIMESTRE'!E17</f>
        <v>0</v>
      </c>
      <c r="F17" s="18">
        <f>'4o TRIMESTRE'!F17</f>
        <v>0</v>
      </c>
      <c r="G17" s="90" t="str">
        <f>'4o TRIMESTRE'!G17</f>
        <v>40.884.405/0001-54</v>
      </c>
      <c r="H17" s="90" t="str">
        <f>'4o TRIMESTRE'!H17</f>
        <v>LOQUIPE LOCACAO DE EQUIPAMENTOS E MAO DE OBRA LTDA</v>
      </c>
      <c r="I17" s="91" t="str">
        <f>'4o TRIMESTRE'!I17</f>
        <v>6-024/19</v>
      </c>
      <c r="J17" s="92">
        <f>'4o TRIMESTRE'!J17</f>
        <v>43633</v>
      </c>
      <c r="K17" s="91">
        <f>'4o TRIMESTRE'!K17</f>
        <v>395</v>
      </c>
      <c r="L17" s="18">
        <f>'4o TRIMESTRE'!L17</f>
        <v>12390281.28</v>
      </c>
      <c r="M17" s="92">
        <f>'4o TRIMESTRE'!M17</f>
        <v>45123</v>
      </c>
      <c r="N17" s="91">
        <f>'4o TRIMESTRE'!N17</f>
        <v>1095</v>
      </c>
      <c r="O17" s="18">
        <f>'4o TRIMESTRE'!O17</f>
        <v>42968949.84</v>
      </c>
      <c r="P17" s="18">
        <v>1492079.88</v>
      </c>
      <c r="Q17" s="91" t="str">
        <f>'4o TRIMESTRE'!Q17</f>
        <v>3.3.90.39</v>
      </c>
      <c r="R17" s="18">
        <f>'4o TRIMESTRE'!R17</f>
        <v>33044468.32</v>
      </c>
      <c r="S17" s="18">
        <f>'4o TRIMESTRE'!S17</f>
        <v>0</v>
      </c>
      <c r="T17" s="18">
        <f>'4o TRIMESTRE'!T17</f>
        <v>7332445</v>
      </c>
      <c r="U17" s="18">
        <f>'4o TRIMESTRE'!U17</f>
        <v>28002991.94</v>
      </c>
      <c r="V17" s="108" t="str">
        <f>'4o TRIMESTRE'!V17</f>
        <v>andamento</v>
      </c>
      <c r="W17" s="93">
        <f t="shared" si="0"/>
        <v>5041476.379999999</v>
      </c>
      <c r="X17" s="107" t="str">
        <f t="shared" si="1"/>
        <v>verdadeiro</v>
      </c>
      <c r="Z17" s="38"/>
      <c r="AC17" s="93"/>
    </row>
    <row r="18" spans="1:29" ht="20.25" customHeight="1">
      <c r="A18" s="90" t="str">
        <f>'4o TRIMESTRE'!A18</f>
        <v>CONCORRÊNCIA / nº 007/2019</v>
      </c>
      <c r="B18" s="90" t="str">
        <f>'4o TRIMESTRE'!B18</f>
        <v>EMPRESA DE ENGENHARIA ESPECIALIZADA EM ILUMINAÇÃO PÚBLICA, PARA FORNECIMENTO E INSTALAÇÃO DE EQUIPAMENTOS DE SEGURANÇA CONTRA VAZAMENTO DE CORRENTES ELÉTRICAS E ATERRAMENTO DOS POSTES DE ILUMINAÇÃO PUBLICA DAS PRAÇAS E PARQUES DA CIDADE DO RECIFE.</v>
      </c>
      <c r="C18" s="90" t="str">
        <f>'4o TRIMESTRE'!C18</f>
        <v>495721/2018 e 535346/2020</v>
      </c>
      <c r="D18" s="18">
        <f>'4o TRIMESTRE'!D18</f>
        <v>0</v>
      </c>
      <c r="E18" s="18">
        <f>'4o TRIMESTRE'!E18</f>
        <v>15823300.23</v>
      </c>
      <c r="F18" s="18">
        <f>'4o TRIMESTRE'!F18</f>
        <v>0</v>
      </c>
      <c r="G18" s="90" t="str">
        <f>'4o TRIMESTRE'!G18</f>
        <v>41.116.138/0001-38</v>
      </c>
      <c r="H18" s="90" t="str">
        <f>'4o TRIMESTRE'!H18</f>
        <v>REAL ENERGY LTDA</v>
      </c>
      <c r="I18" s="91" t="str">
        <f>'4o TRIMESTRE'!I18</f>
        <v>6-051/19</v>
      </c>
      <c r="J18" s="92">
        <f>'4o TRIMESTRE'!J18</f>
        <v>43769</v>
      </c>
      <c r="K18" s="91">
        <f>'4o TRIMESTRE'!K18</f>
        <v>760</v>
      </c>
      <c r="L18" s="18">
        <f>'4o TRIMESTRE'!L18</f>
        <v>2584195.6</v>
      </c>
      <c r="M18" s="92">
        <f>'4o TRIMESTRE'!M18</f>
        <v>44619</v>
      </c>
      <c r="N18" s="91">
        <f>'4o TRIMESTRE'!N18</f>
        <v>90</v>
      </c>
      <c r="O18" s="18">
        <f>'4o TRIMESTRE'!O18</f>
        <v>327163.7</v>
      </c>
      <c r="P18" s="18">
        <v>-32503.22</v>
      </c>
      <c r="Q18" s="91" t="str">
        <f>'4o TRIMESTRE'!Q18</f>
        <v>3.3.90.39</v>
      </c>
      <c r="R18" s="18">
        <f>'4o TRIMESTRE'!R18</f>
        <v>2051214.3</v>
      </c>
      <c r="S18" s="18">
        <f>'4o TRIMESTRE'!S18</f>
        <v>0</v>
      </c>
      <c r="T18" s="18">
        <f>'4o TRIMESTRE'!T18</f>
        <v>65458.07</v>
      </c>
      <c r="U18" s="18">
        <f>'4o TRIMESTRE'!U18</f>
        <v>2051214.3000000003</v>
      </c>
      <c r="V18" s="108" t="str">
        <f>'4o TRIMESTRE'!V18</f>
        <v>encerrado</v>
      </c>
      <c r="W18" s="93">
        <f t="shared" si="0"/>
        <v>0</v>
      </c>
      <c r="X18" s="107" t="str">
        <f t="shared" si="1"/>
        <v>verdadeiro</v>
      </c>
      <c r="Z18" s="38"/>
      <c r="AC18" s="93"/>
    </row>
    <row r="19" spans="1:29" ht="20.25" customHeight="1">
      <c r="A19" s="90" t="str">
        <f>'4o TRIMESTRE'!A19</f>
        <v>TOMADA DE PREÇOS Licitação: 1/2020</v>
      </c>
      <c r="B19" s="90" t="str">
        <f>'4o TRIMESTRE'!B19</f>
        <v>PRESTAÇÃO DE SERVIÇO DE MANUTENÇÃO E RECUPERAÇÃO AMBIENTAL DO ATERRO CONTROLADO DA MURIBECA</v>
      </c>
      <c r="C19" s="90">
        <f>'4o TRIMESTRE'!C19</f>
        <v>0</v>
      </c>
      <c r="D19" s="18">
        <f>'4o TRIMESTRE'!D19</f>
        <v>0</v>
      </c>
      <c r="E19" s="18">
        <f>'4o TRIMESTRE'!E19</f>
        <v>0</v>
      </c>
      <c r="F19" s="18">
        <f>'4o TRIMESTRE'!F19</f>
        <v>0</v>
      </c>
      <c r="G19" s="90" t="str">
        <f>'4o TRIMESTRE'!G19</f>
        <v>07.693.988/0001-60</v>
      </c>
      <c r="H19" s="90" t="str">
        <f>'4o TRIMESTRE'!H19</f>
        <v>F R F ENGENHARIA LTDA</v>
      </c>
      <c r="I19" s="91" t="str">
        <f>'4o TRIMESTRE'!I19</f>
        <v>6-013/20</v>
      </c>
      <c r="J19" s="92">
        <f>'4o TRIMESTRE'!J19</f>
        <v>44007</v>
      </c>
      <c r="K19" s="91">
        <f>'4o TRIMESTRE'!K19</f>
        <v>760</v>
      </c>
      <c r="L19" s="18">
        <f>'4o TRIMESTRE'!L19</f>
        <v>1152030.38</v>
      </c>
      <c r="M19" s="92">
        <f>'4o TRIMESTRE'!M19</f>
        <v>44947</v>
      </c>
      <c r="N19" s="91">
        <f>'4o TRIMESTRE'!N19</f>
        <v>180</v>
      </c>
      <c r="O19" s="18">
        <f>'4o TRIMESTRE'!O19</f>
        <v>0</v>
      </c>
      <c r="P19" s="18">
        <v>0</v>
      </c>
      <c r="Q19" s="91" t="str">
        <f>'4o TRIMESTRE'!Q19</f>
        <v>3.3.90.39</v>
      </c>
      <c r="R19" s="18">
        <f>'4o TRIMESTRE'!R19</f>
        <v>1066523.23</v>
      </c>
      <c r="S19" s="18">
        <f>'4o TRIMESTRE'!S19</f>
        <v>0</v>
      </c>
      <c r="T19" s="18">
        <f>'4o TRIMESTRE'!T19</f>
        <v>226035.96999999997</v>
      </c>
      <c r="U19" s="18">
        <f>'4o TRIMESTRE'!U19</f>
        <v>894961.49</v>
      </c>
      <c r="V19" s="108" t="str">
        <f>'4o TRIMESTRE'!V19</f>
        <v>andamento</v>
      </c>
      <c r="W19" s="93">
        <f t="shared" si="0"/>
        <v>171561.74</v>
      </c>
      <c r="X19" s="107" t="str">
        <f t="shared" si="1"/>
        <v>verdadeiro</v>
      </c>
      <c r="Y19" s="38"/>
      <c r="Z19" s="38"/>
      <c r="AC19" s="93"/>
    </row>
    <row r="20" spans="1:29" ht="20.25" customHeight="1">
      <c r="A20" s="90" t="str">
        <f>'4o TRIMESTRE'!A20</f>
        <v>CONCORRÊNCIA / nº 19/2019</v>
      </c>
      <c r="B20" s="90" t="str">
        <f>'4o TRIMESTRE'!B20</f>
        <v>SERVIÇO DE MANUTENÇÃO DO SISTEMA DE MICRODRENAGEM DE AGUAS PLUVIAIS EM TODAS AS RPAS DA CIDADE DO RECIFE - 04 E 05</v>
      </c>
      <c r="C20" s="90" t="str">
        <f>'4o TRIMESTRE'!C20</f>
        <v>495721/2018 e 535346/2020</v>
      </c>
      <c r="D20" s="18">
        <f>'4o TRIMESTRE'!D20</f>
        <v>0</v>
      </c>
      <c r="E20" s="18">
        <f>'4o TRIMESTRE'!E20</f>
        <v>15823300.23</v>
      </c>
      <c r="F20" s="18">
        <f>'4o TRIMESTRE'!F20</f>
        <v>0</v>
      </c>
      <c r="G20" s="90" t="str">
        <f>'4o TRIMESTRE'!G20</f>
        <v>01.514.128/0001-36</v>
      </c>
      <c r="H20" s="90" t="str">
        <f>'4o TRIMESTRE'!H20</f>
        <v>SCAVE SERVICOS DE ENGENHARIA E LOCACAO LTDA</v>
      </c>
      <c r="I20" s="91" t="str">
        <f>'4o TRIMESTRE'!I20</f>
        <v>6-015/20</v>
      </c>
      <c r="J20" s="92">
        <f>'4o TRIMESTRE'!J20</f>
        <v>43997</v>
      </c>
      <c r="K20" s="91">
        <f>'4o TRIMESTRE'!K20</f>
        <v>1125</v>
      </c>
      <c r="L20" s="18">
        <f>'4o TRIMESTRE'!L20</f>
        <v>17094320.97</v>
      </c>
      <c r="M20" s="92">
        <f>'4o TRIMESTRE'!M20</f>
        <v>45122</v>
      </c>
      <c r="N20" s="91">
        <f>'4o TRIMESTRE'!N20</f>
        <v>0</v>
      </c>
      <c r="O20" s="18">
        <f>'4o TRIMESTRE'!O20</f>
        <v>3011427.7</v>
      </c>
      <c r="P20" s="18">
        <v>0</v>
      </c>
      <c r="Q20" s="91" t="str">
        <f>'4o TRIMESTRE'!Q20</f>
        <v>3.3.90.39</v>
      </c>
      <c r="R20" s="18">
        <f>'4o TRIMESTRE'!R20</f>
        <v>15616246.16</v>
      </c>
      <c r="S20" s="18">
        <f>'4o TRIMESTRE'!S20</f>
        <v>0</v>
      </c>
      <c r="T20" s="18">
        <f>'4o TRIMESTRE'!T20</f>
        <v>4010788.2</v>
      </c>
      <c r="U20" s="18">
        <f>'4o TRIMESTRE'!U20</f>
        <v>15135281.45</v>
      </c>
      <c r="V20" s="108" t="str">
        <f>'4o TRIMESTRE'!V20</f>
        <v>encerrado</v>
      </c>
      <c r="W20" s="93">
        <f t="shared" si="0"/>
        <v>480964.7100000009</v>
      </c>
      <c r="X20" s="107" t="str">
        <f t="shared" si="1"/>
        <v>verdadeiro</v>
      </c>
      <c r="Z20" s="38"/>
      <c r="AC20" s="93"/>
    </row>
    <row r="21" spans="1:29" ht="20.25" customHeight="1">
      <c r="A21" s="90" t="str">
        <f>'4o TRIMESTRE'!A21</f>
        <v>CONCORRÊNCIA / nº 19/2019</v>
      </c>
      <c r="B21" s="90" t="str">
        <f>'4o TRIMESTRE'!B21</f>
        <v>SERVIÇO DE MANUTENÇÃO DO SISTEMA DE MICRODRENAGEM DE AGUAS PLUVIAIS EM TODAS AS RPAS DO RECIFE - RPA 06</v>
      </c>
      <c r="C21" s="90">
        <f>'4o TRIMESTRE'!C21</f>
        <v>0</v>
      </c>
      <c r="D21" s="18">
        <f>'4o TRIMESTRE'!D21</f>
        <v>0</v>
      </c>
      <c r="E21" s="18">
        <f>'4o TRIMESTRE'!E21</f>
        <v>0</v>
      </c>
      <c r="F21" s="18">
        <f>'4o TRIMESTRE'!F21</f>
        <v>0</v>
      </c>
      <c r="G21" s="90" t="str">
        <f>'4o TRIMESTRE'!G21</f>
        <v>10.811.370/0001-62</v>
      </c>
      <c r="H21" s="90" t="str">
        <f>'4o TRIMESTRE'!H21</f>
        <v>GUERRA CONSTRUCOES LTDA</v>
      </c>
      <c r="I21" s="91" t="str">
        <f>'4o TRIMESTRE'!I21</f>
        <v>6-016/20</v>
      </c>
      <c r="J21" s="92">
        <f>'4o TRIMESTRE'!J21</f>
        <v>43997</v>
      </c>
      <c r="K21" s="91">
        <f>'4o TRIMESTRE'!K21</f>
        <v>1125</v>
      </c>
      <c r="L21" s="18">
        <f>'4o TRIMESTRE'!L21</f>
        <v>18840293.85</v>
      </c>
      <c r="M21" s="92">
        <f>'4o TRIMESTRE'!M21</f>
        <v>45122</v>
      </c>
      <c r="N21" s="91">
        <f>'4o TRIMESTRE'!N21</f>
        <v>0</v>
      </c>
      <c r="O21" s="18">
        <f>'4o TRIMESTRE'!O21</f>
        <v>4929083.800000001</v>
      </c>
      <c r="P21" s="18"/>
      <c r="Q21" s="91" t="str">
        <f>'4o TRIMESTRE'!Q21</f>
        <v>3.3.90.39</v>
      </c>
      <c r="R21" s="18">
        <f>'4o TRIMESTRE'!R21</f>
        <v>18902880.71</v>
      </c>
      <c r="S21" s="18">
        <f>'4o TRIMESTRE'!S21</f>
        <v>0</v>
      </c>
      <c r="T21" s="18">
        <f>'4o TRIMESTRE'!T21</f>
        <v>7653943.699999999</v>
      </c>
      <c r="U21" s="18">
        <f>'4o TRIMESTRE'!U21</f>
        <v>18889800.73</v>
      </c>
      <c r="V21" s="108" t="str">
        <f>'4o TRIMESTRE'!V21</f>
        <v>encerrado</v>
      </c>
      <c r="W21" s="93">
        <f t="shared" si="0"/>
        <v>13079.980000000447</v>
      </c>
      <c r="X21" s="107" t="str">
        <f t="shared" si="1"/>
        <v>verdadeiro</v>
      </c>
      <c r="Z21" s="38"/>
      <c r="AC21" s="93"/>
    </row>
    <row r="22" spans="1:29" ht="20.25" customHeight="1">
      <c r="A22" s="90" t="str">
        <f>'4o TRIMESTRE'!A22</f>
        <v>DISP 3/2020</v>
      </c>
      <c r="B22" s="90" t="str">
        <f>'4o TRIMESTRE'!B22</f>
        <v>MONITORAMENTO AMBIENTAL DO ATERRO CONTROLADO DA MURIBECA E SERVIÇOS DE CONSULTORIA TECNOLÓGICA PARA TRATAMENTO DE RESÍDUOS SÓLIDOS URBANOS</v>
      </c>
      <c r="C22" s="90" t="str">
        <f>'4o TRIMESTRE'!C22</f>
        <v>495721/2018 e 535346/2020</v>
      </c>
      <c r="D22" s="18">
        <f>'4o TRIMESTRE'!D22</f>
        <v>0</v>
      </c>
      <c r="E22" s="18">
        <f>'4o TRIMESTRE'!E22</f>
        <v>15823300.23</v>
      </c>
      <c r="F22" s="18">
        <f>'4o TRIMESTRE'!F22</f>
        <v>0</v>
      </c>
      <c r="G22" s="90" t="str">
        <f>'4o TRIMESTRE'!G22</f>
        <v>11.187.606/0001-02</v>
      </c>
      <c r="H22" s="90" t="str">
        <f>'4o TRIMESTRE'!H22</f>
        <v>ATEPE ASSOCIACAO TECNOLOGICA DE PERNAMBUCO                  </v>
      </c>
      <c r="I22" s="91" t="str">
        <f>'4o TRIMESTRE'!I22</f>
        <v>6-018/20</v>
      </c>
      <c r="J22" s="92">
        <f>'4o TRIMESTRE'!J22</f>
        <v>44007</v>
      </c>
      <c r="K22" s="91">
        <f>'4o TRIMESTRE'!K22</f>
        <v>365</v>
      </c>
      <c r="L22" s="18">
        <f>'4o TRIMESTRE'!L22</f>
        <v>251180</v>
      </c>
      <c r="M22" s="92">
        <f>'4o TRIMESTRE'!M22</f>
        <v>45102</v>
      </c>
      <c r="N22" s="91">
        <f>'4o TRIMESTRE'!N22</f>
        <v>730</v>
      </c>
      <c r="O22" s="18">
        <f>'4o TRIMESTRE'!O22</f>
        <v>518360</v>
      </c>
      <c r="P22" s="18">
        <v>0</v>
      </c>
      <c r="Q22" s="91" t="str">
        <f>'4o TRIMESTRE'!Q22</f>
        <v>3.3.90.39</v>
      </c>
      <c r="R22" s="18">
        <f>'4o TRIMESTRE'!R22</f>
        <v>420311.1</v>
      </c>
      <c r="S22" s="18">
        <f>'4o TRIMESTRE'!S22</f>
        <v>0</v>
      </c>
      <c r="T22" s="18">
        <f>'4o TRIMESTRE'!T22</f>
        <v>121480.1</v>
      </c>
      <c r="U22" s="18">
        <f>'4o TRIMESTRE'!U22</f>
        <v>420311.1</v>
      </c>
      <c r="V22" s="108" t="str">
        <f>'4o TRIMESTRE'!V22</f>
        <v>encerrado</v>
      </c>
      <c r="W22" s="93">
        <f t="shared" si="0"/>
        <v>0</v>
      </c>
      <c r="X22" s="107" t="str">
        <f t="shared" si="1"/>
        <v>verdadeiro</v>
      </c>
      <c r="Z22" s="38"/>
      <c r="AC22" s="93"/>
    </row>
    <row r="23" spans="1:29" ht="20.25" customHeight="1">
      <c r="A23" s="90" t="str">
        <f>'4o TRIMESTRE'!A23</f>
        <v>CONCORRÊNCIA Licitação: 1/2020</v>
      </c>
      <c r="B23" s="90" t="str">
        <f>'4o TRIMESTRE'!B23</f>
        <v>SERVIÇOS DE MANUTENÇÃO CORRETIVA DE VIAS NÃO PAVIMENTADAS DO SISTEMA VIÁRIO DA CIDADE DO RECIFE, COMPOSTOS BASICAMENTE POR SERVIÇOS DE TERRAPLENAGEM.</v>
      </c>
      <c r="C23" s="90">
        <f>'4o TRIMESTRE'!C23</f>
        <v>0</v>
      </c>
      <c r="D23" s="18">
        <f>'4o TRIMESTRE'!D23</f>
        <v>0</v>
      </c>
      <c r="E23" s="18">
        <f>'4o TRIMESTRE'!E23</f>
        <v>0</v>
      </c>
      <c r="F23" s="18">
        <f>'4o TRIMESTRE'!F23</f>
        <v>0</v>
      </c>
      <c r="G23" s="90" t="str">
        <f>'4o TRIMESTRE'!G23</f>
        <v>40.884.405/0001-54</v>
      </c>
      <c r="H23" s="90" t="str">
        <f>'4o TRIMESTRE'!H23</f>
        <v>LOQUIPE LOCACAO DE EQUIPAMENTOS E MAO DE OBRA LTDA</v>
      </c>
      <c r="I23" s="91" t="str">
        <f>'4o TRIMESTRE'!I23</f>
        <v>6-024/20</v>
      </c>
      <c r="J23" s="92">
        <f>'4o TRIMESTRE'!J23</f>
        <v>44084</v>
      </c>
      <c r="K23" s="91">
        <f>'4o TRIMESTRE'!K23</f>
        <v>760</v>
      </c>
      <c r="L23" s="18">
        <f>'4o TRIMESTRE'!L23</f>
        <v>2567335.44</v>
      </c>
      <c r="M23" s="92">
        <f>'4o TRIMESTRE'!M23</f>
        <v>44904</v>
      </c>
      <c r="N23" s="91">
        <f>'4o TRIMESTRE'!N23</f>
        <v>60</v>
      </c>
      <c r="O23" s="18">
        <f>'4o TRIMESTRE'!O23</f>
        <v>860912</v>
      </c>
      <c r="P23" s="18">
        <v>2353695.85</v>
      </c>
      <c r="Q23" s="91" t="str">
        <f>'4o TRIMESTRE'!Q23</f>
        <v>3.3.90.39</v>
      </c>
      <c r="R23" s="18">
        <f>'4o TRIMESTRE'!R23</f>
        <v>5045650.46</v>
      </c>
      <c r="S23" s="18">
        <f>'4o TRIMESTRE'!S23</f>
        <v>0</v>
      </c>
      <c r="T23" s="18">
        <f>'4o TRIMESTRE'!T23</f>
        <v>568477.4099999999</v>
      </c>
      <c r="U23" s="18">
        <f>'4o TRIMESTRE'!U23</f>
        <v>2044187.8800000001</v>
      </c>
      <c r="V23" s="108" t="str">
        <f>'4o TRIMESTRE'!V23</f>
        <v>andamento</v>
      </c>
      <c r="W23" s="93">
        <f t="shared" si="0"/>
        <v>3001462.58</v>
      </c>
      <c r="X23" s="107" t="str">
        <f t="shared" si="1"/>
        <v>verdadeiro</v>
      </c>
      <c r="Z23" s="38"/>
      <c r="AC23" s="93"/>
    </row>
    <row r="24" spans="1:29" ht="20.25" customHeight="1">
      <c r="A24" s="90" t="str">
        <f>'4o TRIMESTRE'!A24</f>
        <v>CONCORRÊNCIA Licitação: 3/2020</v>
      </c>
      <c r="B24" s="90" t="str">
        <f>'4o TRIMESTRE'!B24</f>
        <v>SERVIÇOS DE IMPLANTAÇÃO/REQUALIFICAÇÃO DA REDE DE DRENAGEM E PAVIMENTAÇÃO DAS RUAS DAVID NASSER E SENADOR THOMAZ LOBO</v>
      </c>
      <c r="C24" s="90" t="str">
        <f>'4o TRIMESTRE'!C24</f>
        <v>495721/2018 e 535346/2020</v>
      </c>
      <c r="D24" s="18" t="str">
        <f>'4o TRIMESTRE'!D24</f>
        <v>FINISA</v>
      </c>
      <c r="E24" s="18">
        <f>'4o TRIMESTRE'!E24</f>
        <v>110332047.73</v>
      </c>
      <c r="F24" s="18">
        <f>'4o TRIMESTRE'!F24</f>
        <v>0</v>
      </c>
      <c r="G24" s="90" t="str">
        <f>'4o TRIMESTRE'!G24</f>
        <v>07.157.925/0001-90</v>
      </c>
      <c r="H24" s="90" t="str">
        <f>'4o TRIMESTRE'!H24</f>
        <v>WB CONSTRUTORA LTDA</v>
      </c>
      <c r="I24" s="91" t="str">
        <f>'4o TRIMESTRE'!I24</f>
        <v>6-027/20</v>
      </c>
      <c r="J24" s="92">
        <f>'4o TRIMESTRE'!J24</f>
        <v>44089</v>
      </c>
      <c r="K24" s="91">
        <f>'4o TRIMESTRE'!K24</f>
        <v>210</v>
      </c>
      <c r="L24" s="18">
        <f>'4o TRIMESTRE'!L24</f>
        <v>3335155.86</v>
      </c>
      <c r="M24" s="92">
        <f>'4o TRIMESTRE'!M24</f>
        <v>44584</v>
      </c>
      <c r="N24" s="91">
        <f>'4o TRIMESTRE'!N24</f>
        <v>285</v>
      </c>
      <c r="O24" s="18">
        <f>'4o TRIMESTRE'!O24</f>
        <v>767945.97</v>
      </c>
      <c r="P24" s="18">
        <v>0</v>
      </c>
      <c r="Q24" s="91" t="str">
        <f>'4o TRIMESTRE'!Q24</f>
        <v>4.4.90.39</v>
      </c>
      <c r="R24" s="18">
        <f>'4o TRIMESTRE'!R24</f>
        <v>3486185.38</v>
      </c>
      <c r="S24" s="18">
        <f>'4o TRIMESTRE'!S24</f>
        <v>0</v>
      </c>
      <c r="T24" s="18">
        <f>'4o TRIMESTRE'!T24</f>
        <v>538484.02</v>
      </c>
      <c r="U24" s="18">
        <f>'4o TRIMESTRE'!U24</f>
        <v>3486185.3800000004</v>
      </c>
      <c r="V24" s="108" t="str">
        <f>'4o TRIMESTRE'!V24</f>
        <v>encerrado</v>
      </c>
      <c r="W24" s="93">
        <f t="shared" si="0"/>
        <v>0</v>
      </c>
      <c r="X24" s="107" t="str">
        <f t="shared" si="1"/>
        <v>verdadeiro</v>
      </c>
      <c r="Z24" s="38"/>
      <c r="AC24" s="93"/>
    </row>
    <row r="25" spans="1:29" ht="20.25" customHeight="1">
      <c r="A25" s="90" t="str">
        <f>'4o TRIMESTRE'!A25</f>
        <v>CONCORRÊNCIA Licitação: 2/2020</v>
      </c>
      <c r="B25" s="90" t="str">
        <f>'4o TRIMESTRE'!B25</f>
        <v>CONTRATAÇÃO DOS SERVIÇOS DE MANUTENÇÃO CORRETIVA DO SISTEMA VIÁRIO DO RECIFE RPA 01</v>
      </c>
      <c r="C25" s="90">
        <f>'4o TRIMESTRE'!C25</f>
        <v>0</v>
      </c>
      <c r="D25" s="18">
        <f>'4o TRIMESTRE'!D25</f>
        <v>0</v>
      </c>
      <c r="E25" s="18">
        <f>'4o TRIMESTRE'!E25</f>
        <v>0</v>
      </c>
      <c r="F25" s="18">
        <f>'4o TRIMESTRE'!F25</f>
        <v>0</v>
      </c>
      <c r="G25" s="90" t="str">
        <f>'4o TRIMESTRE'!G25</f>
        <v>23.742.620/0001-00</v>
      </c>
      <c r="H25" s="90" t="str">
        <f>'4o TRIMESTRE'!H25</f>
        <v>INSTTALE ENGENHARIA LTDA</v>
      </c>
      <c r="I25" s="91" t="str">
        <f>'4o TRIMESTRE'!I25</f>
        <v>6-029/20</v>
      </c>
      <c r="J25" s="92">
        <f>'4o TRIMESTRE'!J25</f>
        <v>44105</v>
      </c>
      <c r="K25" s="91">
        <f>'4o TRIMESTRE'!K25</f>
        <v>760</v>
      </c>
      <c r="L25" s="18">
        <f>'4o TRIMESTRE'!L25</f>
        <v>6329253.03</v>
      </c>
      <c r="M25" s="92">
        <f>'4o TRIMESTRE'!M25</f>
        <v>44927</v>
      </c>
      <c r="N25" s="91">
        <f>'4o TRIMESTRE'!N25</f>
        <v>62</v>
      </c>
      <c r="O25" s="18">
        <f>'4o TRIMESTRE'!O25</f>
        <v>4399070.74</v>
      </c>
      <c r="P25" s="18">
        <v>2594739.99</v>
      </c>
      <c r="Q25" s="91" t="str">
        <f>'4o TRIMESTRE'!Q25</f>
        <v>3.3.90.39</v>
      </c>
      <c r="R25" s="18">
        <f>'4o TRIMESTRE'!R25</f>
        <v>6383055.54</v>
      </c>
      <c r="S25" s="18">
        <f>'4o TRIMESTRE'!S25</f>
        <v>0</v>
      </c>
      <c r="T25" s="18">
        <f>'4o TRIMESTRE'!T25</f>
        <v>1402829.3599999999</v>
      </c>
      <c r="U25" s="18">
        <f>'4o TRIMESTRE'!U25</f>
        <v>4074961.18</v>
      </c>
      <c r="V25" s="108" t="str">
        <f>'4o TRIMESTRE'!V25</f>
        <v>andamento</v>
      </c>
      <c r="W25" s="93">
        <f t="shared" si="0"/>
        <v>2308094.36</v>
      </c>
      <c r="X25" s="107" t="str">
        <f t="shared" si="1"/>
        <v>verdadeiro</v>
      </c>
      <c r="Z25" s="38"/>
      <c r="AC25" s="93"/>
    </row>
    <row r="26" spans="1:29" ht="20.25" customHeight="1">
      <c r="A26" s="90" t="str">
        <f>'4o TRIMESTRE'!A26</f>
        <v>CONCORRÊNCIA Licitação: 2/2020</v>
      </c>
      <c r="B26" s="90" t="str">
        <f>'4o TRIMESTRE'!B26</f>
        <v>CONTRATAÇÃO DOS SERVIÇOS DE MANUTENÇÃO CORRETIVA DO SISTEMA VIÁRIO DO RECIFE RPA 02 E 03</v>
      </c>
      <c r="C26" s="90" t="str">
        <f>'4o TRIMESTRE'!C26</f>
        <v>495721/2018 e 535346/2020</v>
      </c>
      <c r="D26" s="18">
        <f>'4o TRIMESTRE'!D26</f>
        <v>0</v>
      </c>
      <c r="E26" s="18">
        <f>'4o TRIMESTRE'!E26</f>
        <v>15823300.23</v>
      </c>
      <c r="F26" s="18">
        <f>'4o TRIMESTRE'!F26</f>
        <v>0</v>
      </c>
      <c r="G26" s="90" t="str">
        <f>'4o TRIMESTRE'!G26</f>
        <v>00.999.591/0001-52</v>
      </c>
      <c r="H26" s="90" t="str">
        <f>'4o TRIMESTRE'!H26</f>
        <v>AGC CONSTRUTORA E EMPREENDIMENTOS LTDA                      </v>
      </c>
      <c r="I26" s="91" t="str">
        <f>'4o TRIMESTRE'!I26</f>
        <v>6-030/20</v>
      </c>
      <c r="J26" s="92">
        <f>'4o TRIMESTRE'!J26</f>
        <v>44130</v>
      </c>
      <c r="K26" s="91">
        <f>'4o TRIMESTRE'!K26</f>
        <v>760</v>
      </c>
      <c r="L26" s="18">
        <f>'4o TRIMESTRE'!L26</f>
        <v>9905518.18</v>
      </c>
      <c r="M26" s="92">
        <f>'4o TRIMESTRE'!M26</f>
        <v>44890</v>
      </c>
      <c r="N26" s="91">
        <f>'4o TRIMESTRE'!N26</f>
        <v>0</v>
      </c>
      <c r="O26" s="18">
        <f>'4o TRIMESTRE'!O26</f>
        <v>288906.17</v>
      </c>
      <c r="P26" s="18">
        <v>1659020.11</v>
      </c>
      <c r="Q26" s="91" t="str">
        <f>'4o TRIMESTRE'!Q26</f>
        <v>3.3.90.39</v>
      </c>
      <c r="R26" s="18">
        <f>'4o TRIMESTRE'!R26</f>
        <v>7989786.779999999</v>
      </c>
      <c r="S26" s="18">
        <f>'4o TRIMESTRE'!S26</f>
        <v>0</v>
      </c>
      <c r="T26" s="18">
        <f>'4o TRIMESTRE'!T26</f>
        <v>2458221.88</v>
      </c>
      <c r="U26" s="18">
        <f>'4o TRIMESTRE'!U26</f>
        <v>7726550.9</v>
      </c>
      <c r="V26" s="108" t="str">
        <f>'4o TRIMESTRE'!V26</f>
        <v>andamento</v>
      </c>
      <c r="W26" s="93">
        <f t="shared" si="0"/>
        <v>263235.87999999896</v>
      </c>
      <c r="X26" s="107" t="str">
        <f t="shared" si="1"/>
        <v>verdadeiro</v>
      </c>
      <c r="Z26" s="38"/>
      <c r="AC26" s="93"/>
    </row>
    <row r="27" spans="1:29" ht="20.25" customHeight="1">
      <c r="A27" s="90" t="str">
        <f>'4o TRIMESTRE'!A27</f>
        <v>CONCORRÊNCIA Licitação: 2/2020</v>
      </c>
      <c r="B27" s="90" t="str">
        <f>'4o TRIMESTRE'!B27</f>
        <v>CONTRATAÇÃO DOS SERVIÇOS DE MANUTENÇÃO CORRETIVA DO SISTEMA VIÁRIO DO RECIFE RPA 04 E 05</v>
      </c>
      <c r="C27" s="90">
        <f>'4o TRIMESTRE'!C27</f>
        <v>0</v>
      </c>
      <c r="D27" s="18">
        <f>'4o TRIMESTRE'!D27</f>
        <v>0</v>
      </c>
      <c r="E27" s="18">
        <f>'4o TRIMESTRE'!E27</f>
        <v>0</v>
      </c>
      <c r="F27" s="18">
        <f>'4o TRIMESTRE'!F27</f>
        <v>0</v>
      </c>
      <c r="G27" s="90" t="str">
        <f>'4o TRIMESTRE'!G27</f>
        <v>23.742.620/0001-00</v>
      </c>
      <c r="H27" s="90" t="str">
        <f>'4o TRIMESTRE'!H27</f>
        <v>INSTTALE ENGENHARIA LTDA</v>
      </c>
      <c r="I27" s="91" t="str">
        <f>'4o TRIMESTRE'!I27</f>
        <v>6-031/20</v>
      </c>
      <c r="J27" s="92">
        <f>'4o TRIMESTRE'!J27</f>
        <v>44130</v>
      </c>
      <c r="K27" s="91">
        <f>'4o TRIMESTRE'!K27</f>
        <v>760</v>
      </c>
      <c r="L27" s="18">
        <f>'4o TRIMESTRE'!L27</f>
        <v>12232966.38</v>
      </c>
      <c r="M27" s="92">
        <f>'4o TRIMESTRE'!M27</f>
        <v>44890</v>
      </c>
      <c r="N27" s="91">
        <f>'4o TRIMESTRE'!N27</f>
        <v>0</v>
      </c>
      <c r="O27" s="18">
        <f>'4o TRIMESTRE'!O27</f>
        <v>2820084.5799999996</v>
      </c>
      <c r="P27" s="18">
        <v>0</v>
      </c>
      <c r="Q27" s="91" t="str">
        <f>'4o TRIMESTRE'!Q27</f>
        <v>3.3.90.39</v>
      </c>
      <c r="R27" s="18">
        <f>'4o TRIMESTRE'!R27</f>
        <v>11036196.860000001</v>
      </c>
      <c r="S27" s="18">
        <f>'4o TRIMESTRE'!S27</f>
        <v>0</v>
      </c>
      <c r="T27" s="18">
        <f>'4o TRIMESTRE'!T27</f>
        <v>3270760.83</v>
      </c>
      <c r="U27" s="18">
        <f>'4o TRIMESTRE'!U27</f>
        <v>10702424.99</v>
      </c>
      <c r="V27" s="108" t="str">
        <f>'4o TRIMESTRE'!V27</f>
        <v>andamento</v>
      </c>
      <c r="W27" s="93">
        <f t="shared" si="0"/>
        <v>333771.87000000104</v>
      </c>
      <c r="X27" s="107" t="str">
        <f t="shared" si="1"/>
        <v>verdadeiro</v>
      </c>
      <c r="Z27" s="38"/>
      <c r="AB27" s="94"/>
      <c r="AC27" s="93"/>
    </row>
    <row r="28" spans="1:29" ht="20.25" customHeight="1">
      <c r="A28" s="90" t="str">
        <f>'4o TRIMESTRE'!A28</f>
        <v>CONCORRÊNCIA Licitação: 2/2020</v>
      </c>
      <c r="B28" s="90" t="str">
        <f>'4o TRIMESTRE'!B28</f>
        <v>CONTRATAÇÃO DOS SERVIÇOS DE MANUTENÇÃO CORRETIVA DO SISTEMA VIÁRIO DO RECIFE RPA 06</v>
      </c>
      <c r="C28" s="90">
        <f>'4o TRIMESTRE'!C28</f>
        <v>0</v>
      </c>
      <c r="D28" s="18">
        <f>'4o TRIMESTRE'!D28</f>
        <v>0</v>
      </c>
      <c r="E28" s="18">
        <f>'4o TRIMESTRE'!E28</f>
        <v>0</v>
      </c>
      <c r="F28" s="18">
        <f>'4o TRIMESTRE'!F28</f>
        <v>0</v>
      </c>
      <c r="G28" s="90" t="str">
        <f>'4o TRIMESTRE'!G28</f>
        <v>40.882.060/0001-08</v>
      </c>
      <c r="H28" s="90" t="str">
        <f>'4o TRIMESTRE'!H28</f>
        <v>LIDERMAC CONSTRUCOES E EQUIPAMENTOS LTDA</v>
      </c>
      <c r="I28" s="91" t="str">
        <f>'4o TRIMESTRE'!I28</f>
        <v>6-032/20</v>
      </c>
      <c r="J28" s="92">
        <f>'4o TRIMESTRE'!J28</f>
        <v>44130</v>
      </c>
      <c r="K28" s="91">
        <f>'4o TRIMESTRE'!K28</f>
        <v>760</v>
      </c>
      <c r="L28" s="18">
        <f>'4o TRIMESTRE'!L28</f>
        <v>10773413.11</v>
      </c>
      <c r="M28" s="92">
        <f>'4o TRIMESTRE'!M28</f>
        <v>44890</v>
      </c>
      <c r="N28" s="91">
        <f>'4o TRIMESTRE'!N28</f>
        <v>0</v>
      </c>
      <c r="O28" s="18">
        <f>'4o TRIMESTRE'!O28</f>
        <v>0</v>
      </c>
      <c r="P28" s="18">
        <v>180603.08</v>
      </c>
      <c r="Q28" s="91" t="str">
        <f>'4o TRIMESTRE'!Q28</f>
        <v>3.3.90.39</v>
      </c>
      <c r="R28" s="18">
        <f>'4o TRIMESTRE'!R28</f>
        <v>6420862.449999999</v>
      </c>
      <c r="S28" s="18">
        <f>'4o TRIMESTRE'!S28</f>
        <v>0</v>
      </c>
      <c r="T28" s="18">
        <f>'4o TRIMESTRE'!T28</f>
        <v>1913375.49</v>
      </c>
      <c r="U28" s="18">
        <f>'4o TRIMESTRE'!U28</f>
        <v>6420862.449999999</v>
      </c>
      <c r="V28" s="108" t="str">
        <f>'4o TRIMESTRE'!V28</f>
        <v>encerrado</v>
      </c>
      <c r="W28" s="93">
        <f t="shared" si="0"/>
        <v>0</v>
      </c>
      <c r="X28" s="107" t="str">
        <f t="shared" si="1"/>
        <v>verdadeiro</v>
      </c>
      <c r="Z28" s="38"/>
      <c r="AB28" s="94"/>
      <c r="AC28" s="93"/>
    </row>
    <row r="29" spans="1:29" ht="20.25" customHeight="1">
      <c r="A29" s="90" t="str">
        <f>'4o TRIMESTRE'!A29</f>
        <v>TOMADA DE PREÇOS / 005/2020</v>
      </c>
      <c r="B29" s="90" t="str">
        <f>'4o TRIMESTRE'!B29</f>
        <v>CONTRATACAO DE DE EMPRESA DE ENGENHARIA PARA EXECUCAO DE SERVICOS DE MANUTENCAO DE FONTES. COM BOMBAS CENTRIFUGAS DE 5 A 25 CV. ILUMINACAO ESPECIAL E OPERACAO AUTOMATIZADA POR QUADRO DE COMANDO INTERRUPTO HORARIO</v>
      </c>
      <c r="C29" s="90" t="str">
        <f>'4o TRIMESTRE'!C29</f>
        <v>495721/2018 e 535346/2020</v>
      </c>
      <c r="D29" s="18">
        <f>'4o TRIMESTRE'!D29</f>
        <v>0</v>
      </c>
      <c r="E29" s="18">
        <f>'4o TRIMESTRE'!E29</f>
        <v>15823300.23</v>
      </c>
      <c r="F29" s="18">
        <f>'4o TRIMESTRE'!F29</f>
        <v>0</v>
      </c>
      <c r="G29" s="90" t="str">
        <f>'4o TRIMESTRE'!G29</f>
        <v>06.157.352/0001-31</v>
      </c>
      <c r="H29" s="90" t="str">
        <f>'4o TRIMESTRE'!H29</f>
        <v>ROBERTO &amp; JAIR COMÉRCIO E SERVIÇOS LTDA-ME</v>
      </c>
      <c r="I29" s="91" t="str">
        <f>'4o TRIMESTRE'!I29</f>
        <v>6-043/20</v>
      </c>
      <c r="J29" s="92">
        <f>'4o TRIMESTRE'!J29</f>
        <v>44138</v>
      </c>
      <c r="K29" s="91">
        <f>'4o TRIMESTRE'!K29</f>
        <v>760</v>
      </c>
      <c r="L29" s="18">
        <f>'4o TRIMESTRE'!L29</f>
        <v>536156.1</v>
      </c>
      <c r="M29" s="92">
        <f>'4o TRIMESTRE'!M29</f>
        <v>44898</v>
      </c>
      <c r="N29" s="91">
        <f>'4o TRIMESTRE'!N29</f>
        <v>0</v>
      </c>
      <c r="O29" s="18">
        <f>'4o TRIMESTRE'!O29</f>
        <v>138182.13999999998</v>
      </c>
      <c r="P29" s="18">
        <v>1849376.19</v>
      </c>
      <c r="Q29" s="91" t="str">
        <f>'4o TRIMESTRE'!Q29</f>
        <v>3.3.90.39</v>
      </c>
      <c r="R29" s="18">
        <f>'4o TRIMESTRE'!R29</f>
        <v>611035.17</v>
      </c>
      <c r="S29" s="18">
        <f>'4o TRIMESTRE'!S29</f>
        <v>0</v>
      </c>
      <c r="T29" s="18">
        <f>'4o TRIMESTRE'!T29</f>
        <v>212971.41999999998</v>
      </c>
      <c r="U29" s="18">
        <f>'4o TRIMESTRE'!U29</f>
        <v>578881.76</v>
      </c>
      <c r="V29" s="108" t="str">
        <f>'4o TRIMESTRE'!V29</f>
        <v>andamento</v>
      </c>
      <c r="W29" s="93">
        <f t="shared" si="0"/>
        <v>32153.410000000033</v>
      </c>
      <c r="X29" s="107" t="str">
        <f t="shared" si="1"/>
        <v>verdadeiro</v>
      </c>
      <c r="Z29" s="38"/>
      <c r="AC29" s="93"/>
    </row>
    <row r="30" spans="1:29" ht="20.25" customHeight="1">
      <c r="A30" s="90" t="str">
        <f>'4o TRIMESTRE'!A30</f>
        <v>CONCORRÊNCIA / nº 006/2020</v>
      </c>
      <c r="B30" s="90" t="str">
        <f>'4o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30" s="90">
        <f>'4o TRIMESTRE'!C30</f>
        <v>0</v>
      </c>
      <c r="D30" s="18">
        <f>'4o TRIMESTRE'!D30</f>
        <v>0</v>
      </c>
      <c r="E30" s="18">
        <f>'4o TRIMESTRE'!E30</f>
        <v>0</v>
      </c>
      <c r="F30" s="18">
        <f>'4o TRIMESTRE'!F30</f>
        <v>0</v>
      </c>
      <c r="G30" s="90" t="str">
        <f>'4o TRIMESTRE'!G30</f>
        <v>01.346.561/0001-00</v>
      </c>
      <c r="H30" s="90" t="str">
        <f>'4o TRIMESTRE'!H30</f>
        <v>VASCONCELOS E SANTOS LTDA</v>
      </c>
      <c r="I30" s="91" t="str">
        <f>'4o TRIMESTRE'!I30</f>
        <v>6-044/20</v>
      </c>
      <c r="J30" s="92">
        <f>'4o TRIMESTRE'!J30</f>
        <v>44162</v>
      </c>
      <c r="K30" s="91">
        <f>'4o TRIMESTRE'!K30</f>
        <v>790</v>
      </c>
      <c r="L30" s="18">
        <f>'4o TRIMESTRE'!L30</f>
        <v>1704583.5</v>
      </c>
      <c r="M30" s="92">
        <f>'4o TRIMESTRE'!M30</f>
        <v>45317</v>
      </c>
      <c r="N30" s="91">
        <f>'4o TRIMESTRE'!N30</f>
        <v>365</v>
      </c>
      <c r="O30" s="18">
        <f>'4o TRIMESTRE'!O30</f>
        <v>553768</v>
      </c>
      <c r="P30" s="18">
        <v>0</v>
      </c>
      <c r="Q30" s="91" t="str">
        <f>'4o TRIMESTRE'!Q30</f>
        <v>3.3.90.39</v>
      </c>
      <c r="R30" s="18">
        <f>'4o TRIMESTRE'!R30</f>
        <v>1431564.8399999999</v>
      </c>
      <c r="S30" s="18">
        <f>'4o TRIMESTRE'!S30</f>
        <v>0</v>
      </c>
      <c r="T30" s="18">
        <f>'4o TRIMESTRE'!T30</f>
        <v>622742.3</v>
      </c>
      <c r="U30" s="18">
        <f>'4o TRIMESTRE'!U30</f>
        <v>1320294.8399999999</v>
      </c>
      <c r="V30" s="108" t="str">
        <f>'4o TRIMESTRE'!V30</f>
        <v>andamento</v>
      </c>
      <c r="W30" s="93">
        <f t="shared" si="0"/>
        <v>111270</v>
      </c>
      <c r="X30" s="107" t="str">
        <f t="shared" si="1"/>
        <v>verdadeiro</v>
      </c>
      <c r="Z30" s="38"/>
      <c r="AC30" s="93"/>
    </row>
    <row r="31" spans="1:29" ht="20.25" customHeight="1">
      <c r="A31" s="90" t="str">
        <f>'4o TRIMESTRE'!A31</f>
        <v>CONCORRÊNCIA Licitação: 19/2019</v>
      </c>
      <c r="B31" s="90" t="str">
        <f>'4o TRIMESTRE'!B31</f>
        <v>SERVIÇOS DE MANUTENÇÃO DO SISTEMA DE MICRODRENAGEM DAS AGUAS PLUVIAIS DO MUNICIPIO DO RECIFE RPA 1</v>
      </c>
      <c r="C31" s="90" t="str">
        <f>'4o TRIMESTRE'!C31</f>
        <v>495721/2018 e 535346/2020</v>
      </c>
      <c r="D31" s="18">
        <f>'4o TRIMESTRE'!D31</f>
        <v>0</v>
      </c>
      <c r="E31" s="18">
        <f>'4o TRIMESTRE'!E31</f>
        <v>15823300.23</v>
      </c>
      <c r="F31" s="18">
        <f>'4o TRIMESTRE'!F31</f>
        <v>0</v>
      </c>
      <c r="G31" s="90" t="str">
        <f>'4o TRIMESTRE'!G31</f>
        <v>07.086.088/0001-55</v>
      </c>
      <c r="H31" s="90" t="str">
        <f>'4o TRIMESTRE'!H31</f>
        <v>SOLO CONSTRUCOES E TERRAPLANAGEM LTDA</v>
      </c>
      <c r="I31" s="91" t="str">
        <f>'4o TRIMESTRE'!I31</f>
        <v>6-048/20</v>
      </c>
      <c r="J31" s="92">
        <f>'4o TRIMESTRE'!J31</f>
        <v>44168</v>
      </c>
      <c r="K31" s="91">
        <f>'4o TRIMESTRE'!K31</f>
        <v>1125</v>
      </c>
      <c r="L31" s="18">
        <f>'4o TRIMESTRE'!L31</f>
        <v>16571981.61</v>
      </c>
      <c r="M31" s="92">
        <f>'4o TRIMESTRE'!M31</f>
        <v>45293</v>
      </c>
      <c r="N31" s="91">
        <f>'4o TRIMESTRE'!N31</f>
        <v>0</v>
      </c>
      <c r="O31" s="18">
        <f>'4o TRIMESTRE'!O31</f>
        <v>4067901.64</v>
      </c>
      <c r="P31" s="18">
        <v>1917782.34</v>
      </c>
      <c r="Q31" s="91" t="str">
        <f>'4o TRIMESTRE'!Q31</f>
        <v>3.3.90.39</v>
      </c>
      <c r="R31" s="18">
        <f>'4o TRIMESTRE'!R31</f>
        <v>10705274.09</v>
      </c>
      <c r="S31" s="18">
        <f>'4o TRIMESTRE'!S31</f>
        <v>0</v>
      </c>
      <c r="T31" s="18">
        <f>'4o TRIMESTRE'!T31</f>
        <v>5163654.77</v>
      </c>
      <c r="U31" s="18">
        <f>'4o TRIMESTRE'!U31</f>
        <v>10585652.89</v>
      </c>
      <c r="V31" s="108" t="str">
        <f>'4o TRIMESTRE'!V31</f>
        <v>andamento</v>
      </c>
      <c r="W31" s="93">
        <f t="shared" si="0"/>
        <v>119621.19999999925</v>
      </c>
      <c r="X31" s="107" t="str">
        <f t="shared" si="1"/>
        <v>verdadeiro</v>
      </c>
      <c r="Z31" s="38"/>
      <c r="AC31" s="93"/>
    </row>
    <row r="32" spans="1:29" ht="20.25" customHeight="1">
      <c r="A32" s="90" t="str">
        <f>'4o TRIMESTRE'!A32</f>
        <v>Convite  Licitação:  001/2021</v>
      </c>
      <c r="B32" s="90" t="str">
        <f>'4o TRIMESTRE'!B32</f>
        <v>CONTRATAÇÃO DE SERVIÇOS DE RECUPERAÇÃO DE ESTRUTURA EM MADEIRA DO SEGUNDO JARDIM EM BOA VIAGEM</v>
      </c>
      <c r="C32" s="90" t="str">
        <f>'4o TRIMESTRE'!C32</f>
        <v>02/2018 , 16/2019 e 01/2020</v>
      </c>
      <c r="D32" s="18">
        <f>'4o TRIMESTRE'!D32</f>
        <v>0</v>
      </c>
      <c r="E32" s="18">
        <f>'4o TRIMESTRE'!E32</f>
        <v>0</v>
      </c>
      <c r="F32" s="18">
        <f>'4o TRIMESTRE'!F32</f>
        <v>0</v>
      </c>
      <c r="G32" s="90" t="str">
        <f>'4o TRIMESTRE'!G32</f>
        <v>06.157.352/0001-31</v>
      </c>
      <c r="H32" s="90" t="str">
        <f>'4o TRIMESTRE'!H32</f>
        <v>ROBERTO &amp; JAIR COMÉRCIO E SERVIÇOS LTDA-ME</v>
      </c>
      <c r="I32" s="91" t="str">
        <f>'4o TRIMESTRE'!I32</f>
        <v>1-002/21</v>
      </c>
      <c r="J32" s="92">
        <f>'4o TRIMESTRE'!J32</f>
        <v>44491</v>
      </c>
      <c r="K32" s="91">
        <f>'4o TRIMESTRE'!K32</f>
        <v>90</v>
      </c>
      <c r="L32" s="18">
        <f>'4o TRIMESTRE'!L32</f>
        <v>91995.11</v>
      </c>
      <c r="M32" s="92">
        <f>'4o TRIMESTRE'!M32</f>
        <v>44581</v>
      </c>
      <c r="N32" s="91">
        <f>'4o TRIMESTRE'!N32</f>
        <v>0</v>
      </c>
      <c r="O32" s="18">
        <f>'4o TRIMESTRE'!O32</f>
        <v>0</v>
      </c>
      <c r="P32" s="18">
        <v>1593718</v>
      </c>
      <c r="Q32" s="91" t="str">
        <f>'4o TRIMESTRE'!Q32</f>
        <v>3.3.90.39</v>
      </c>
      <c r="R32" s="18">
        <f>'4o TRIMESTRE'!R32</f>
        <v>91995.11</v>
      </c>
      <c r="S32" s="18">
        <f>'4o TRIMESTRE'!S32</f>
        <v>0</v>
      </c>
      <c r="T32" s="18">
        <f>'4o TRIMESTRE'!T32</f>
        <v>0</v>
      </c>
      <c r="U32" s="18">
        <f>'4o TRIMESTRE'!U32</f>
        <v>91995.11</v>
      </c>
      <c r="V32" s="108" t="str">
        <f>'4o TRIMESTRE'!V32</f>
        <v>encerrado</v>
      </c>
      <c r="W32" s="93">
        <f t="shared" si="0"/>
        <v>0</v>
      </c>
      <c r="X32" s="107" t="str">
        <f t="shared" si="1"/>
        <v>verdadeiro</v>
      </c>
      <c r="Z32" s="38"/>
      <c r="AC32" s="93"/>
    </row>
    <row r="33" spans="1:29" ht="20.25" customHeight="1">
      <c r="A33" s="90" t="str">
        <f>'4o TRIMESTRE'!A33</f>
        <v>CONCORRÊNCIA / nº 12/2020</v>
      </c>
      <c r="B33" s="90" t="str">
        <f>'4o TRIMESTRE'!B33</f>
        <v>CONTRATACAO DOS SERVICOS DE LIMPEZA E MANUTENCAO DO SISTEMA DE MICRODRENAGEM DE AGUAS PLUVIAIS DO MUNICIPIO DO RECIFE RPA 02 E 03</v>
      </c>
      <c r="C33" s="90" t="str">
        <f>'4o TRIMESTRE'!C33</f>
        <v>495721/2018 e 02/2018 , 16/2019 e 01/2020</v>
      </c>
      <c r="D33" s="18">
        <f>'4o TRIMESTRE'!D33</f>
        <v>0</v>
      </c>
      <c r="E33" s="18">
        <f>'4o TRIMESTRE'!E33</f>
        <v>0</v>
      </c>
      <c r="F33" s="18">
        <f>'4o TRIMESTRE'!F33</f>
        <v>0</v>
      </c>
      <c r="G33" s="90" t="str">
        <f>'4o TRIMESTRE'!G33</f>
        <v>07.693.988/0001-60</v>
      </c>
      <c r="H33" s="90" t="str">
        <f>'4o TRIMESTRE'!H33</f>
        <v>F R F ENGENHARIA LTDA</v>
      </c>
      <c r="I33" s="91" t="str">
        <f>'4o TRIMESTRE'!I33</f>
        <v>6-002/21</v>
      </c>
      <c r="J33" s="92">
        <f>'4o TRIMESTRE'!J33</f>
        <v>44204</v>
      </c>
      <c r="K33" s="91">
        <f>'4o TRIMESTRE'!K33</f>
        <v>1125</v>
      </c>
      <c r="L33" s="18">
        <f>'4o TRIMESTRE'!L33</f>
        <v>17543900.19</v>
      </c>
      <c r="M33" s="92">
        <f>'4o TRIMESTRE'!M33</f>
        <v>45329</v>
      </c>
      <c r="N33" s="91">
        <f>'4o TRIMESTRE'!N33</f>
        <v>0</v>
      </c>
      <c r="O33" s="18">
        <f>'4o TRIMESTRE'!O33</f>
        <v>3107744.16</v>
      </c>
      <c r="P33" s="18">
        <v>1971049.4</v>
      </c>
      <c r="Q33" s="91" t="str">
        <f>'4o TRIMESTRE'!Q33</f>
        <v>3.3.90.39</v>
      </c>
      <c r="R33" s="18">
        <f>'4o TRIMESTRE'!R33</f>
        <v>9303883.3</v>
      </c>
      <c r="S33" s="18">
        <f>'4o TRIMESTRE'!S33</f>
        <v>0</v>
      </c>
      <c r="T33" s="18">
        <f>'4o TRIMESTRE'!T33</f>
        <v>4104538.2199999997</v>
      </c>
      <c r="U33" s="18">
        <f>'4o TRIMESTRE'!U33</f>
        <v>8838311.139999999</v>
      </c>
      <c r="V33" s="108" t="str">
        <f>'4o TRIMESTRE'!V33</f>
        <v>encerrado</v>
      </c>
      <c r="W33" s="93">
        <f t="shared" si="0"/>
        <v>465572.160000002</v>
      </c>
      <c r="X33" s="107" t="str">
        <f t="shared" si="1"/>
        <v>verdadeiro</v>
      </c>
      <c r="Z33" s="38"/>
      <c r="AC33" s="93"/>
    </row>
    <row r="34" spans="1:29" ht="20.25" customHeight="1">
      <c r="A34" s="90" t="str">
        <f>'4o TRIMESTRE'!A34</f>
        <v>Pregão Eletrônico/ nº 017/2020</v>
      </c>
      <c r="B34" s="90" t="str">
        <f>'4o TRIMESTRE'!B34</f>
        <v>SERVIÇO DE MANUTENÇÃO E/OU INSTALAÇÃO DE BRINQUEDOS DE MADEIRA, INSTALADOS EM PARQUES E PRAÇAS DA CIDADE DO RECIFE</v>
      </c>
      <c r="C34" s="90">
        <f>'4o TRIMESTRE'!C34</f>
        <v>0</v>
      </c>
      <c r="D34" s="18">
        <f>'4o TRIMESTRE'!D34</f>
        <v>0</v>
      </c>
      <c r="E34" s="18">
        <f>'4o TRIMESTRE'!E34</f>
        <v>0</v>
      </c>
      <c r="F34" s="18">
        <f>'4o TRIMESTRE'!F34</f>
        <v>0</v>
      </c>
      <c r="G34" s="90" t="str">
        <f>'4o TRIMESTRE'!G34</f>
        <v>06.157.352/0001-31</v>
      </c>
      <c r="H34" s="90" t="str">
        <f>'4o TRIMESTRE'!H34</f>
        <v>ROBERTO &amp; JAIR COMÉRCIO E SERVIÇOS LTDA-ME</v>
      </c>
      <c r="I34" s="91" t="str">
        <f>'4o TRIMESTRE'!I34</f>
        <v>6-003/21</v>
      </c>
      <c r="J34" s="92">
        <f>'4o TRIMESTRE'!J34</f>
        <v>44246</v>
      </c>
      <c r="K34" s="91">
        <f>'4o TRIMESTRE'!K34</f>
        <v>365</v>
      </c>
      <c r="L34" s="18">
        <f>'4o TRIMESTRE'!L34</f>
        <v>159999.96</v>
      </c>
      <c r="M34" s="92">
        <f>'4o TRIMESTRE'!M34</f>
        <v>44701</v>
      </c>
      <c r="N34" s="91">
        <f>'4o TRIMESTRE'!N34</f>
        <v>90</v>
      </c>
      <c r="O34" s="18">
        <f>'4o TRIMESTRE'!O34</f>
        <v>39425.78</v>
      </c>
      <c r="P34" s="18">
        <v>247242.24</v>
      </c>
      <c r="Q34" s="91" t="str">
        <f>'4o TRIMESTRE'!Q34</f>
        <v>3.3.90.39</v>
      </c>
      <c r="R34" s="18">
        <f>'4o TRIMESTRE'!R34</f>
        <v>324037.53</v>
      </c>
      <c r="S34" s="18">
        <f>'4o TRIMESTRE'!S34</f>
        <v>0</v>
      </c>
      <c r="T34" s="18">
        <f>'4o TRIMESTRE'!T34</f>
        <v>48287.840000000004</v>
      </c>
      <c r="U34" s="18">
        <f>'4o TRIMESTRE'!U34</f>
        <v>199425.69</v>
      </c>
      <c r="V34" s="108" t="s">
        <v>188</v>
      </c>
      <c r="W34" s="93">
        <f t="shared" si="0"/>
        <v>124611.84000000003</v>
      </c>
      <c r="X34" s="107" t="str">
        <f t="shared" si="1"/>
        <v>verdadeiro</v>
      </c>
      <c r="Z34" s="38"/>
      <c r="AC34" s="93"/>
    </row>
    <row r="35" spans="1:29" ht="20.25" customHeight="1">
      <c r="A35" s="90" t="str">
        <f>'4o TRIMESTRE'!A35</f>
        <v>CONCORRÊNCIA / nº 14/2020</v>
      </c>
      <c r="B35" s="90" t="str">
        <f>'4o TRIMESTRE'!B35</f>
        <v>CONTRATACAO DE EMPRESA DE ENGENHARIA PARA REALIZACAO DE MANUTENCAO PREVENTIVA E CORRETIVA DO SISTEMA DE ILUMINACAO PUBLICA CONVENCIONAL DAS RPAS DO MUNICIPIO DO RECIFE. EM POSTES COM ATE 12 METROS DE ALTURA LOTE I. RPA 1 E 6</v>
      </c>
      <c r="C35" s="90" t="str">
        <f>'4o TRIMESTRE'!C35</f>
        <v>495721/2018 e 02/2018 , 16/2019 e 01/2020</v>
      </c>
      <c r="D35" s="18">
        <f>'4o TRIMESTRE'!D35</f>
        <v>0</v>
      </c>
      <c r="E35" s="18">
        <f>'4o TRIMESTRE'!E35</f>
        <v>0</v>
      </c>
      <c r="F35" s="18">
        <f>'4o TRIMESTRE'!F35</f>
        <v>0</v>
      </c>
      <c r="G35" s="90" t="str">
        <f>'4o TRIMESTRE'!G35</f>
        <v>03.834.750/0001-57</v>
      </c>
      <c r="H35" s="90" t="str">
        <f>'4o TRIMESTRE'!H35</f>
        <v>EIP SERVICOS DE ILUMINACAO LTDA</v>
      </c>
      <c r="I35" s="91" t="str">
        <f>'4o TRIMESTRE'!I35</f>
        <v>6-004/21</v>
      </c>
      <c r="J35" s="92">
        <f>'4o TRIMESTRE'!J35</f>
        <v>44270</v>
      </c>
      <c r="K35" s="91">
        <f>'4o TRIMESTRE'!K35</f>
        <v>790</v>
      </c>
      <c r="L35" s="18">
        <f>'4o TRIMESTRE'!L35</f>
        <v>1459741.65</v>
      </c>
      <c r="M35" s="92">
        <f>'4o TRIMESTRE'!M35</f>
        <v>45060</v>
      </c>
      <c r="N35" s="91">
        <f>'4o TRIMESTRE'!N35</f>
        <v>0</v>
      </c>
      <c r="O35" s="18">
        <f>'4o TRIMESTRE'!O35</f>
        <v>271913.86</v>
      </c>
      <c r="P35" s="18">
        <v>2599684.03</v>
      </c>
      <c r="Q35" s="91" t="str">
        <f>'4o TRIMESTRE'!Q35</f>
        <v>3.3.90.39</v>
      </c>
      <c r="R35" s="18">
        <f>'4o TRIMESTRE'!R35</f>
        <v>1337840.7</v>
      </c>
      <c r="S35" s="18">
        <f>'4o TRIMESTRE'!S35</f>
        <v>0</v>
      </c>
      <c r="T35" s="18">
        <f>'4o TRIMESTRE'!T35</f>
        <v>685324.22</v>
      </c>
      <c r="U35" s="18">
        <f>'4o TRIMESTRE'!U35</f>
        <v>1337840.7</v>
      </c>
      <c r="V35" s="108" t="str">
        <f>'4o TRIMESTRE'!V35</f>
        <v>encerrado</v>
      </c>
      <c r="W35" s="93">
        <f t="shared" si="0"/>
        <v>0</v>
      </c>
      <c r="X35" s="107" t="str">
        <f t="shared" si="1"/>
        <v>verdadeiro</v>
      </c>
      <c r="Y35" s="95"/>
      <c r="Z35" s="38"/>
      <c r="AA35" s="12"/>
      <c r="AB35" s="38"/>
      <c r="AC35" s="93"/>
    </row>
    <row r="36" spans="1:29" ht="20.25" customHeight="1">
      <c r="A36" s="90" t="str">
        <f>'4o TRIMESTRE'!A36</f>
        <v>CONCORRÊNCIA / nº 14/2020</v>
      </c>
      <c r="B36" s="90" t="str">
        <f>'4o TRIMESTRE'!B36</f>
        <v>CONTRATACAO DE EMPRESA DE ENGENHARIA PARA REALIZACAO DE MANUTENCAO PREVENTIVA E CORRETIVA DO SISTEMA DE ILUMINACAO PUBLICA CONVENCIONAL DAS RPAS DO MUNICIPIO DO RECIFE. EM POSTES COM ATE 12 METROS DE ALTURA LOTE II RPA 2 E 3</v>
      </c>
      <c r="C36" s="90" t="str">
        <f>'4o TRIMESTRE'!C36</f>
        <v>535346/2020</v>
      </c>
      <c r="D36" s="18">
        <f>'4o TRIMESTRE'!D36</f>
        <v>0</v>
      </c>
      <c r="E36" s="18">
        <f>'4o TRIMESTRE'!E36</f>
        <v>15823300.23</v>
      </c>
      <c r="F36" s="18">
        <f>'4o TRIMESTRE'!F36</f>
        <v>0</v>
      </c>
      <c r="G36" s="90" t="str">
        <f>'4o TRIMESTRE'!G36</f>
        <v>03.834.750/0001-57</v>
      </c>
      <c r="H36" s="90" t="str">
        <f>'4o TRIMESTRE'!H36</f>
        <v>EIP SERVICOS DE ILUMINACAO LTDA</v>
      </c>
      <c r="I36" s="91" t="str">
        <f>'4o TRIMESTRE'!I36</f>
        <v>6-005/21</v>
      </c>
      <c r="J36" s="92">
        <f>'4o TRIMESTRE'!J36</f>
        <v>44270</v>
      </c>
      <c r="K36" s="91">
        <f>'4o TRIMESTRE'!K36</f>
        <v>790</v>
      </c>
      <c r="L36" s="18">
        <f>'4o TRIMESTRE'!L36</f>
        <v>1589764.85</v>
      </c>
      <c r="M36" s="92">
        <f>'4o TRIMESTRE'!M36</f>
        <v>45060</v>
      </c>
      <c r="N36" s="91">
        <f>'4o TRIMESTRE'!N36</f>
        <v>0</v>
      </c>
      <c r="O36" s="18">
        <f>'4o TRIMESTRE'!O36</f>
        <v>337768.38</v>
      </c>
      <c r="P36" s="18">
        <v>0</v>
      </c>
      <c r="Q36" s="91" t="str">
        <f>'4o TRIMESTRE'!Q36</f>
        <v>3.3.90.39</v>
      </c>
      <c r="R36" s="18">
        <f>'4o TRIMESTRE'!R36</f>
        <v>1519364.73</v>
      </c>
      <c r="S36" s="18">
        <f>'4o TRIMESTRE'!S36</f>
        <v>0</v>
      </c>
      <c r="T36" s="18">
        <f>'4o TRIMESTRE'!T36</f>
        <v>883219.0999999999</v>
      </c>
      <c r="U36" s="18">
        <f>'4o TRIMESTRE'!U36</f>
        <v>1519364.73</v>
      </c>
      <c r="V36" s="108" t="str">
        <f>'4o TRIMESTRE'!V36</f>
        <v>andamento</v>
      </c>
      <c r="W36" s="93">
        <f t="shared" si="0"/>
        <v>0</v>
      </c>
      <c r="X36" s="107" t="str">
        <f t="shared" si="1"/>
        <v>verdadeiro</v>
      </c>
      <c r="Z36" s="38"/>
      <c r="AC36" s="93"/>
    </row>
    <row r="37" spans="1:29" ht="20.25" customHeight="1">
      <c r="A37" s="90" t="str">
        <f>'4o TRIMESTRE'!A37</f>
        <v>CONCORRÊNCIA / nº 14/2020</v>
      </c>
      <c r="B37" s="90" t="str">
        <f>'4o TRIMESTRE'!B37</f>
        <v>CONTRATAÇÃO DE EMPRESA DE ENGENHARIA PARA REALIZAÇÃO DE MANUTENÇÃO PREVENTIVA E CORRETIVA DO SISTEMA DE ILUMINAÇÃO PUBLICA CONVENCIONAL DAS RPAS DO RECIFE LOTE III RPA  4 E 5</v>
      </c>
      <c r="C37" s="90">
        <f>'4o TRIMESTRE'!C37</f>
        <v>0</v>
      </c>
      <c r="D37" s="18">
        <f>'4o TRIMESTRE'!D37</f>
        <v>0</v>
      </c>
      <c r="E37" s="18">
        <f>'4o TRIMESTRE'!E37</f>
        <v>0</v>
      </c>
      <c r="F37" s="18">
        <f>'4o TRIMESTRE'!F37</f>
        <v>0</v>
      </c>
      <c r="G37" s="90" t="str">
        <f>'4o TRIMESTRE'!G37</f>
        <v>03.834.750/0001-57</v>
      </c>
      <c r="H37" s="90" t="str">
        <f>'4o TRIMESTRE'!H37</f>
        <v>EIP SERVICOS DE ILUMINACAO LTDA</v>
      </c>
      <c r="I37" s="91" t="str">
        <f>'4o TRIMESTRE'!I37</f>
        <v>6-006/21</v>
      </c>
      <c r="J37" s="92">
        <f>'4o TRIMESTRE'!J37</f>
        <v>44270</v>
      </c>
      <c r="K37" s="91">
        <f>'4o TRIMESTRE'!K37</f>
        <v>790</v>
      </c>
      <c r="L37" s="18">
        <f>'4o TRIMESTRE'!L37</f>
        <v>1435226.94</v>
      </c>
      <c r="M37" s="92">
        <f>'4o TRIMESTRE'!M37</f>
        <v>45060</v>
      </c>
      <c r="N37" s="91">
        <f>'4o TRIMESTRE'!N37</f>
        <v>0</v>
      </c>
      <c r="O37" s="18">
        <f>'4o TRIMESTRE'!O37</f>
        <v>341654.57999999996</v>
      </c>
      <c r="P37" s="18">
        <v>6210860.26</v>
      </c>
      <c r="Q37" s="91" t="str">
        <f>'4o TRIMESTRE'!Q37</f>
        <v>3.3.90.39</v>
      </c>
      <c r="R37" s="18">
        <f>'4o TRIMESTRE'!R37</f>
        <v>8168515.5600000005</v>
      </c>
      <c r="S37" s="18">
        <f>'4o TRIMESTRE'!S37</f>
        <v>0</v>
      </c>
      <c r="T37" s="18">
        <f>'4o TRIMESTRE'!T37</f>
        <v>633282.64</v>
      </c>
      <c r="U37" s="18">
        <f>'4o TRIMESTRE'!U37</f>
        <v>1194435.62</v>
      </c>
      <c r="V37" s="108" t="str">
        <f>'4o TRIMESTRE'!V37</f>
        <v>andamento</v>
      </c>
      <c r="W37" s="93">
        <f t="shared" si="0"/>
        <v>6974079.94</v>
      </c>
      <c r="X37" s="107" t="str">
        <f t="shared" si="1"/>
        <v>verdadeiro</v>
      </c>
      <c r="Z37" s="38"/>
      <c r="AA37" s="12"/>
      <c r="AB37" s="41"/>
      <c r="AC37" s="93"/>
    </row>
    <row r="38" spans="1:29" ht="20.25" customHeight="1">
      <c r="A38" s="90" t="str">
        <f>'4o TRIMESTRE'!A38</f>
        <v>CONCORRÊNCIA / nº 17/2020</v>
      </c>
      <c r="B38" s="90" t="str">
        <f>'4o TRIMESTRE'!B38</f>
        <v>CONTRATACAO DOS SERVICOS DE MANUTENCAO E RECUPERACAO DA PAVIMENTACAO NAS VIAS EM PARALELEPIPEDOS CONSTITUINTES DO SISTEMA VIARIO DA CIDADE DO RECIFE. LOTE I - RPA 1</v>
      </c>
      <c r="C38" s="90" t="str">
        <f>'4o TRIMESTRE'!C38</f>
        <v>495721/2018 e 535346/2020</v>
      </c>
      <c r="D38" s="18">
        <f>'4o TRIMESTRE'!D38</f>
        <v>0</v>
      </c>
      <c r="E38" s="18">
        <f>'4o TRIMESTRE'!E38</f>
        <v>15823300.23</v>
      </c>
      <c r="F38" s="18">
        <f>'4o TRIMESTRE'!F38</f>
        <v>0</v>
      </c>
      <c r="G38" s="90" t="str">
        <f>'4o TRIMESTRE'!G38</f>
        <v>10.811.370/0001-62</v>
      </c>
      <c r="H38" s="90" t="str">
        <f>'4o TRIMESTRE'!H38</f>
        <v>GUERRA CONSTRUCOES LTDA</v>
      </c>
      <c r="I38" s="91" t="str">
        <f>'4o TRIMESTRE'!I38</f>
        <v>6-007/21</v>
      </c>
      <c r="J38" s="92">
        <f>'4o TRIMESTRE'!J38</f>
        <v>44285</v>
      </c>
      <c r="K38" s="91">
        <f>'4o TRIMESTRE'!K38</f>
        <v>760</v>
      </c>
      <c r="L38" s="18">
        <f>'4o TRIMESTRE'!L38</f>
        <v>4242714.5</v>
      </c>
      <c r="M38" s="92">
        <f>'4o TRIMESTRE'!M38</f>
        <v>45045</v>
      </c>
      <c r="N38" s="91">
        <f>'4o TRIMESTRE'!N38</f>
        <v>0</v>
      </c>
      <c r="O38" s="18">
        <f>'4o TRIMESTRE'!O38</f>
        <v>0</v>
      </c>
      <c r="P38" s="18">
        <v>-30778.06</v>
      </c>
      <c r="Q38" s="91" t="str">
        <f>'4o TRIMESTRE'!Q38</f>
        <v>3.3.90.39</v>
      </c>
      <c r="R38" s="18">
        <f>'4o TRIMESTRE'!R38</f>
        <v>2644763.21</v>
      </c>
      <c r="S38" s="18">
        <f>'4o TRIMESTRE'!S38</f>
        <v>0</v>
      </c>
      <c r="T38" s="18">
        <f>'4o TRIMESTRE'!T38</f>
        <v>1709727.67</v>
      </c>
      <c r="U38" s="18">
        <f>'4o TRIMESTRE'!U38</f>
        <v>2339338.63</v>
      </c>
      <c r="V38" s="108" t="str">
        <f>'4o TRIMESTRE'!V38</f>
        <v>andamento</v>
      </c>
      <c r="W38" s="93">
        <f t="shared" si="0"/>
        <v>305424.5800000001</v>
      </c>
      <c r="X38" s="107" t="str">
        <f t="shared" si="1"/>
        <v>verdadeiro</v>
      </c>
      <c r="Z38" s="38"/>
      <c r="AC38" s="93"/>
    </row>
    <row r="39" spans="1:29" ht="20.25" customHeight="1">
      <c r="A39" s="90" t="str">
        <f>'4o TRIMESTRE'!A39</f>
        <v>CONCORRÊNCIA / nº 17/2020</v>
      </c>
      <c r="B39" s="90" t="str">
        <f>'4o TRIMESTRE'!B39</f>
        <v>CONTRATACAO DOS SERVICOS DE MANUTENCAO E RECUPERACAO DA PAVIMENTACAO NAS VIAS EM PARALELEPIPEDOS CONSTITUINTES DO SISTEMA VIARIO DA CIDADE DO RECIFE. LOTES II - RPA 2 E 3</v>
      </c>
      <c r="C39" s="90" t="str">
        <f>'4o TRIMESTRE'!C39</f>
        <v>495721/2018 e 02/2018 , 16/2019 e 01/2020</v>
      </c>
      <c r="D39" s="18">
        <f>'4o TRIMESTRE'!D39</f>
        <v>0</v>
      </c>
      <c r="E39" s="18">
        <f>'4o TRIMESTRE'!E39</f>
        <v>0</v>
      </c>
      <c r="F39" s="18">
        <f>'4o TRIMESTRE'!F39</f>
        <v>0</v>
      </c>
      <c r="G39" s="90" t="str">
        <f>'4o TRIMESTRE'!G39</f>
        <v>07.086.088/0001-55</v>
      </c>
      <c r="H39" s="90" t="str">
        <f>'4o TRIMESTRE'!H39</f>
        <v>SOLO CONSTRUCOES E TERRAPLANAGEM LTDA</v>
      </c>
      <c r="I39" s="91" t="str">
        <f>'4o TRIMESTRE'!I39</f>
        <v>6-008/21</v>
      </c>
      <c r="J39" s="92">
        <f>'4o TRIMESTRE'!J39</f>
        <v>44285</v>
      </c>
      <c r="K39" s="91">
        <f>'4o TRIMESTRE'!K39</f>
        <v>760</v>
      </c>
      <c r="L39" s="18">
        <f>'4o TRIMESTRE'!L39</f>
        <v>5068725.74</v>
      </c>
      <c r="M39" s="92">
        <f>'4o TRIMESTRE'!M39</f>
        <v>45045</v>
      </c>
      <c r="N39" s="91">
        <f>'4o TRIMESTRE'!N39</f>
        <v>0</v>
      </c>
      <c r="O39" s="18">
        <f>'4o TRIMESTRE'!O39</f>
        <v>0</v>
      </c>
      <c r="P39" s="18">
        <v>1397138.35</v>
      </c>
      <c r="Q39" s="91" t="str">
        <f>'4o TRIMESTRE'!Q39</f>
        <v>3.3.90.39</v>
      </c>
      <c r="R39" s="18">
        <f>'4o TRIMESTRE'!R39</f>
        <v>2397230.83</v>
      </c>
      <c r="S39" s="18">
        <f>'4o TRIMESTRE'!S39</f>
        <v>0</v>
      </c>
      <c r="T39" s="18">
        <f>'4o TRIMESTRE'!T39</f>
        <v>718430.8700000001</v>
      </c>
      <c r="U39" s="18">
        <f>'4o TRIMESTRE'!U39</f>
        <v>1933510.6</v>
      </c>
      <c r="V39" s="108" t="str">
        <f>'4o TRIMESTRE'!V39</f>
        <v>encerrado</v>
      </c>
      <c r="W39" s="93">
        <f t="shared" si="0"/>
        <v>463720.23</v>
      </c>
      <c r="X39" s="107" t="str">
        <f t="shared" si="1"/>
        <v>verdadeiro</v>
      </c>
      <c r="Z39" s="38"/>
      <c r="AC39" s="93"/>
    </row>
    <row r="40" spans="1:29" ht="20.25" customHeight="1">
      <c r="A40" s="90" t="str">
        <f>'4o TRIMESTRE'!A40</f>
        <v>concorrência /nº 17/2020</v>
      </c>
      <c r="B40" s="90" t="str">
        <f>'4o TRIMESTRE'!B40</f>
        <v>CONTRATACAO DOS SERVICOS DE MANUTENCAO E RECUPERACAO DA PAVIMENTACAO NAS VIAS EM PARALELEPIPEDOS CONSTITUINTES DO SISTEMA VIARIO DA CIDADE DO RECIFE. LOTES III - RPA 4 E 5</v>
      </c>
      <c r="C40" s="90" t="str">
        <f>'4o TRIMESTRE'!C40</f>
        <v>535346/2020</v>
      </c>
      <c r="D40" s="18">
        <f>'4o TRIMESTRE'!D40</f>
        <v>0</v>
      </c>
      <c r="E40" s="18">
        <f>'4o TRIMESTRE'!E40</f>
        <v>15823300.23</v>
      </c>
      <c r="F40" s="18">
        <f>'4o TRIMESTRE'!F40</f>
        <v>0</v>
      </c>
      <c r="G40" s="90" t="str">
        <f>'4o TRIMESTRE'!G40</f>
        <v>05.625.079/0001-60</v>
      </c>
      <c r="H40" s="90" t="str">
        <f>'4o TRIMESTRE'!H40</f>
        <v>CONSTRUTORA MARDIFI LTDA - EPP </v>
      </c>
      <c r="I40" s="91" t="str">
        <f>'4o TRIMESTRE'!I40</f>
        <v>6-009/21</v>
      </c>
      <c r="J40" s="92">
        <f>'4o TRIMESTRE'!J40</f>
        <v>44285</v>
      </c>
      <c r="K40" s="91">
        <f>'4o TRIMESTRE'!K40</f>
        <v>760</v>
      </c>
      <c r="L40" s="18">
        <f>'4o TRIMESTRE'!L40</f>
        <v>7317745.62</v>
      </c>
      <c r="M40" s="92">
        <f>'4o TRIMESTRE'!M40</f>
        <v>45045</v>
      </c>
      <c r="N40" s="91">
        <f>'4o TRIMESTRE'!N40</f>
        <v>0</v>
      </c>
      <c r="O40" s="18">
        <f>'4o TRIMESTRE'!O40</f>
        <v>132982.7</v>
      </c>
      <c r="P40" s="18">
        <v>0</v>
      </c>
      <c r="Q40" s="91" t="str">
        <f>'4o TRIMESTRE'!Q40</f>
        <v>3.3.90.39</v>
      </c>
      <c r="R40" s="18">
        <f>'4o TRIMESTRE'!R40</f>
        <v>1618317.05</v>
      </c>
      <c r="S40" s="18">
        <f>'4o TRIMESTRE'!S40</f>
        <v>0</v>
      </c>
      <c r="T40" s="18">
        <f>'4o TRIMESTRE'!T40</f>
        <v>717047.95</v>
      </c>
      <c r="U40" s="18">
        <f>'4o TRIMESTRE'!U40</f>
        <v>1618317.05</v>
      </c>
      <c r="V40" s="108" t="str">
        <f>'4o TRIMESTRE'!V40</f>
        <v>andamento</v>
      </c>
      <c r="W40" s="93">
        <f t="shared" si="0"/>
        <v>0</v>
      </c>
      <c r="X40" s="107" t="str">
        <f t="shared" si="1"/>
        <v>verdadeiro</v>
      </c>
      <c r="Z40" s="38"/>
      <c r="AC40" s="93"/>
    </row>
    <row r="41" spans="1:29" ht="20.25" customHeight="1">
      <c r="A41" s="90" t="str">
        <f>'4o TRIMESTRE'!A41</f>
        <v>concorrência /nº 17/2020</v>
      </c>
      <c r="B41" s="90" t="str">
        <f>'4o TRIMESTRE'!B41</f>
        <v>CONTRATACAO DOS SERVICOS DE MANUTENCAO E RECUPERACAO DA PAVIMENTACAO NAS VIAS EM PARALELEPIPEDOS CONSTITUINTES DO SISTEMA VIARIO DA CIDADE DO RECIFE. LOTES IV. - RPA 06</v>
      </c>
      <c r="C41" s="90">
        <f>'4o TRIMESTRE'!C41</f>
        <v>0</v>
      </c>
      <c r="D41" s="18">
        <f>'4o TRIMESTRE'!D41</f>
        <v>0</v>
      </c>
      <c r="E41" s="18">
        <f>'4o TRIMESTRE'!E41</f>
        <v>0</v>
      </c>
      <c r="F41" s="18">
        <f>'4o TRIMESTRE'!F41</f>
        <v>0</v>
      </c>
      <c r="G41" s="90" t="str">
        <f>'4o TRIMESTRE'!G41</f>
        <v>10.811.370/0001-62</v>
      </c>
      <c r="H41" s="90" t="str">
        <f>'4o TRIMESTRE'!H41</f>
        <v>GUERRA CONSTRUCOES LTDA</v>
      </c>
      <c r="I41" s="91" t="str">
        <f>'4o TRIMESTRE'!I41</f>
        <v>6-010/21</v>
      </c>
      <c r="J41" s="92">
        <f>'4o TRIMESTRE'!J41</f>
        <v>44285</v>
      </c>
      <c r="K41" s="91">
        <f>'4o TRIMESTRE'!K41</f>
        <v>760</v>
      </c>
      <c r="L41" s="18">
        <f>'4o TRIMESTRE'!L41</f>
        <v>6534905.35</v>
      </c>
      <c r="M41" s="92">
        <f>'4o TRIMESTRE'!M41</f>
        <v>45045</v>
      </c>
      <c r="N41" s="91">
        <f>'4o TRIMESTRE'!N41</f>
        <v>0</v>
      </c>
      <c r="O41" s="18">
        <f>'4o TRIMESTRE'!O41</f>
        <v>2349037.45</v>
      </c>
      <c r="P41" s="18">
        <v>209567711.41</v>
      </c>
      <c r="Q41" s="91" t="str">
        <f>'4o TRIMESTRE'!Q41</f>
        <v>3.3.90.39</v>
      </c>
      <c r="R41" s="18">
        <f>'4o TRIMESTRE'!R41</f>
        <v>14921040.23</v>
      </c>
      <c r="S41" s="18">
        <f>'4o TRIMESTRE'!S41</f>
        <v>0</v>
      </c>
      <c r="T41" s="18">
        <f>'4o TRIMESTRE'!T41</f>
        <v>1348160.25</v>
      </c>
      <c r="U41" s="18">
        <f>'4o TRIMESTRE'!U41</f>
        <v>2950416.92</v>
      </c>
      <c r="V41" s="108" t="str">
        <f>'4o TRIMESTRE'!V41</f>
        <v>encerrado</v>
      </c>
      <c r="W41" s="93">
        <f t="shared" si="0"/>
        <v>11970623.31</v>
      </c>
      <c r="X41" s="107" t="str">
        <f t="shared" si="1"/>
        <v>verdadeiro</v>
      </c>
      <c r="Z41" s="38"/>
      <c r="AC41" s="93"/>
    </row>
    <row r="42" spans="1:29" ht="20.25" customHeight="1">
      <c r="A42" s="90" t="str">
        <f>'4o TRIMESTRE'!A42</f>
        <v>INEX 9/2021</v>
      </c>
      <c r="B42" s="90" t="str">
        <f>'4o TRIMESTRE'!B42</f>
        <v>CONTRATACAO DOS SERVICOS DE MANUTENCAO PREVENTIVA DO SISTEMA DE MACRODRENAGEM PELO PROCESSO DE BARRAGEM MOVEL EM DIVERSOS CANAIS DA CIDADE DO RECIFE</v>
      </c>
      <c r="C42" s="90">
        <f>'4o TRIMESTRE'!C42</f>
        <v>0</v>
      </c>
      <c r="D42" s="18">
        <f>'4o TRIMESTRE'!D42</f>
        <v>0</v>
      </c>
      <c r="E42" s="18">
        <f>'4o TRIMESTRE'!E42</f>
        <v>0</v>
      </c>
      <c r="F42" s="18">
        <f>'4o TRIMESTRE'!F42</f>
        <v>0</v>
      </c>
      <c r="G42" s="90" t="str">
        <f>'4o TRIMESTRE'!G42</f>
        <v>03.366.083/0001-25</v>
      </c>
      <c r="H42" s="90" t="str">
        <f>'4o TRIMESTRE'!H42</f>
        <v>HIDROMAX CONSTRUÇOES LTDA</v>
      </c>
      <c r="I42" s="91" t="str">
        <f>'4o TRIMESTRE'!I42</f>
        <v>6-012/21</v>
      </c>
      <c r="J42" s="92">
        <f>'4o TRIMESTRE'!J42</f>
        <v>44354</v>
      </c>
      <c r="K42" s="91">
        <f>'4o TRIMESTRE'!K42</f>
        <v>760</v>
      </c>
      <c r="L42" s="18">
        <f>'4o TRIMESTRE'!L42</f>
        <v>1940544.76</v>
      </c>
      <c r="M42" s="92">
        <f>'4o TRIMESTRE'!M42</f>
        <v>45114</v>
      </c>
      <c r="N42" s="91">
        <f>'4o TRIMESTRE'!N42</f>
        <v>0</v>
      </c>
      <c r="O42" s="18">
        <f>'4o TRIMESTRE'!O42</f>
        <v>469412</v>
      </c>
      <c r="P42" s="18">
        <v>88092.12</v>
      </c>
      <c r="Q42" s="91" t="str">
        <f>'4o TRIMESTRE'!Q42</f>
        <v>3.3.90.39</v>
      </c>
      <c r="R42" s="18">
        <f>'4o TRIMESTRE'!R42</f>
        <v>2198505.49</v>
      </c>
      <c r="S42" s="18">
        <f>'4o TRIMESTRE'!S42</f>
        <v>0</v>
      </c>
      <c r="T42" s="18">
        <f>'4o TRIMESTRE'!T42</f>
        <v>996075.8999999999</v>
      </c>
      <c r="U42" s="18">
        <f>'4o TRIMESTRE'!U42</f>
        <v>1330917.41</v>
      </c>
      <c r="V42" s="108" t="str">
        <f>'4o TRIMESTRE'!V42</f>
        <v>andamento</v>
      </c>
      <c r="W42" s="93">
        <f t="shared" si="0"/>
        <v>867588.0800000003</v>
      </c>
      <c r="X42" s="107" t="str">
        <f t="shared" si="1"/>
        <v>verdadeiro</v>
      </c>
      <c r="Z42" s="38"/>
      <c r="AC42" s="93"/>
    </row>
    <row r="43" spans="1:29" ht="20.25" customHeight="1">
      <c r="A43" s="90" t="str">
        <f>'4o TRIMESTRE'!A43</f>
        <v>concorrência /nº 001/2021</v>
      </c>
      <c r="B43" s="90" t="str">
        <f>'4o TRIMESTRE'!B43</f>
        <v>CONTRATACAO DE EMPRESA DE ENGENHARIA ESPECIALIZADA. PARA A OPERACAO. AUTOMACAO E MANUTENCAO ELETRICA E MECANICA DAS ESTACOES DE BOMBEAMENTO E COMPORTAS DA CIDADE DO RECIFE</v>
      </c>
      <c r="C43" s="90">
        <f>'4o TRIMESTRE'!C43</f>
        <v>0</v>
      </c>
      <c r="D43" s="18">
        <f>'4o TRIMESTRE'!D43</f>
        <v>0</v>
      </c>
      <c r="E43" s="18">
        <f>'4o TRIMESTRE'!E43</f>
        <v>0</v>
      </c>
      <c r="F43" s="18">
        <f>'4o TRIMESTRE'!F43</f>
        <v>0</v>
      </c>
      <c r="G43" s="90" t="str">
        <f>'4o TRIMESTRE'!G43</f>
        <v>41.116.138/0001-38</v>
      </c>
      <c r="H43" s="90" t="str">
        <f>'4o TRIMESTRE'!H43</f>
        <v>REAL ENERGY LTDA</v>
      </c>
      <c r="I43" s="91" t="str">
        <f>'4o TRIMESTRE'!I43</f>
        <v>6-014/21</v>
      </c>
      <c r="J43" s="92">
        <f>'4o TRIMESTRE'!J43</f>
        <v>44347</v>
      </c>
      <c r="K43" s="91">
        <f>'4o TRIMESTRE'!K43</f>
        <v>790</v>
      </c>
      <c r="L43" s="18">
        <f>'4o TRIMESTRE'!L43</f>
        <v>3652773.14</v>
      </c>
      <c r="M43" s="92">
        <f>'4o TRIMESTRE'!M43</f>
        <v>45137</v>
      </c>
      <c r="N43" s="91">
        <f>'4o TRIMESTRE'!N43</f>
        <v>0</v>
      </c>
      <c r="O43" s="18">
        <f>'4o TRIMESTRE'!O43</f>
        <v>399634.42</v>
      </c>
      <c r="P43" s="18">
        <v>-21911.98</v>
      </c>
      <c r="Q43" s="91" t="str">
        <f>'4o TRIMESTRE'!Q43</f>
        <v>3.3.90.39</v>
      </c>
      <c r="R43" s="18">
        <f>'4o TRIMESTRE'!R43</f>
        <v>1616883.58</v>
      </c>
      <c r="S43" s="18">
        <f>'4o TRIMESTRE'!S43</f>
        <v>0</v>
      </c>
      <c r="T43" s="18">
        <f>'4o TRIMESTRE'!T43</f>
        <v>879531.2000000001</v>
      </c>
      <c r="U43" s="18">
        <f>'4o TRIMESTRE'!U43</f>
        <v>1616883.58</v>
      </c>
      <c r="V43" s="108" t="str">
        <f>'4o TRIMESTRE'!V43</f>
        <v>andamento</v>
      </c>
      <c r="W43" s="93">
        <f t="shared" si="0"/>
        <v>0</v>
      </c>
      <c r="X43" s="107" t="str">
        <f t="shared" si="1"/>
        <v>verdadeiro</v>
      </c>
      <c r="Z43" s="38"/>
      <c r="AC43" s="93"/>
    </row>
    <row r="44" spans="1:29" ht="20.25" customHeight="1">
      <c r="A44" s="90" t="str">
        <f>'4o TRIMESTRE'!A44</f>
        <v>concorrência /nº 015/2020</v>
      </c>
      <c r="B44" s="90" t="str">
        <f>'4o TRIMESTRE'!B44</f>
        <v>SERVIÇOS DE RECUPERAÇÃO DE VIAS URBANAS PAVIMENTAS EM CONCRETO DE CIMENTO PORTLAND EM TRECHOS DE VIAS NAS RPA'S 1 A 6</v>
      </c>
      <c r="C44" s="90" t="str">
        <f>'4o TRIMESTRE'!C44</f>
        <v>495721/2018 e 02/2018 , 16/2019 e 01/2020</v>
      </c>
      <c r="D44" s="18">
        <f>'4o TRIMESTRE'!D44</f>
        <v>0</v>
      </c>
      <c r="E44" s="18">
        <f>'4o TRIMESTRE'!E44</f>
        <v>0</v>
      </c>
      <c r="F44" s="18">
        <f>'4o TRIMESTRE'!F44</f>
        <v>0</v>
      </c>
      <c r="G44" s="90" t="str">
        <f>'4o TRIMESTRE'!G44</f>
        <v>00.338.885/0001-33</v>
      </c>
      <c r="H44" s="90" t="str">
        <f>'4o TRIMESTRE'!H44</f>
        <v>NOVATEC CONSTRUCOES E EMPREENDIMENTOS LTDA</v>
      </c>
      <c r="I44" s="91" t="str">
        <f>'4o TRIMESTRE'!I44</f>
        <v>6-015/21</v>
      </c>
      <c r="J44" s="92">
        <f>'4o TRIMESTRE'!J44</f>
        <v>44363</v>
      </c>
      <c r="K44" s="91">
        <f>'4o TRIMESTRE'!K44</f>
        <v>790</v>
      </c>
      <c r="L44" s="18">
        <f>'4o TRIMESTRE'!L44</f>
        <v>8412130.06</v>
      </c>
      <c r="M44" s="92">
        <f>'4o TRIMESTRE'!M44</f>
        <v>45153</v>
      </c>
      <c r="N44" s="91">
        <f>'4o TRIMESTRE'!N44</f>
        <v>0</v>
      </c>
      <c r="O44" s="18">
        <f>'4o TRIMESTRE'!O44</f>
        <v>1027590.58</v>
      </c>
      <c r="P44" s="18">
        <v>2897889.33</v>
      </c>
      <c r="Q44" s="91" t="str">
        <f>'4o TRIMESTRE'!Q44</f>
        <v>3.3.90.39</v>
      </c>
      <c r="R44" s="18">
        <f>'4o TRIMESTRE'!R44</f>
        <v>4761093.08</v>
      </c>
      <c r="S44" s="18">
        <f>'4o TRIMESTRE'!S44</f>
        <v>0</v>
      </c>
      <c r="T44" s="18">
        <f>'4o TRIMESTRE'!T44</f>
        <v>3141310.21</v>
      </c>
      <c r="U44" s="18">
        <f>'4o TRIMESTRE'!U44</f>
        <v>4600075.96</v>
      </c>
      <c r="V44" s="108" t="str">
        <f>'4o TRIMESTRE'!V44</f>
        <v>encerrado</v>
      </c>
      <c r="W44" s="93">
        <f t="shared" si="0"/>
        <v>161017.1200000001</v>
      </c>
      <c r="X44" s="107" t="str">
        <f t="shared" si="1"/>
        <v>verdadeiro</v>
      </c>
      <c r="Z44" s="38"/>
      <c r="AC44" s="93"/>
    </row>
    <row r="45" spans="1:29" ht="20.25" customHeight="1">
      <c r="A45" s="90" t="str">
        <f>'4o TRIMESTRE'!A45</f>
        <v>concorrência /nº 004/2021</v>
      </c>
      <c r="B45" s="90" t="str">
        <f>'4o TRIMESTRE'!B45</f>
        <v>RECUPERAÇÃO DE PASSEIOS COM IMPLANTAÇÃO DE ACESSIBILIDADE EM VARIAS VIAS E LOCAIS DO RECIFE</v>
      </c>
      <c r="C45" s="90" t="str">
        <f>'4o TRIMESTRE'!C45</f>
        <v>535346/2020</v>
      </c>
      <c r="D45" s="18" t="str">
        <f>'4o TRIMESTRE'!D45</f>
        <v>FINISA</v>
      </c>
      <c r="E45" s="18">
        <f>'4o TRIMESTRE'!E45</f>
        <v>110332047.73</v>
      </c>
      <c r="F45" s="18">
        <f>'4o TRIMESTRE'!F45</f>
        <v>0</v>
      </c>
      <c r="G45" s="90" t="str">
        <f>'4o TRIMESTRE'!G45</f>
        <v>03.608.944/0001-34</v>
      </c>
      <c r="H45" s="90" t="str">
        <f>'4o TRIMESTRE'!H45</f>
        <v>JEPAC CONSTRUCOES LTDA</v>
      </c>
      <c r="I45" s="91" t="str">
        <f>'4o TRIMESTRE'!I45</f>
        <v>6-018/21</v>
      </c>
      <c r="J45" s="92">
        <f>'4o TRIMESTRE'!J45</f>
        <v>44361</v>
      </c>
      <c r="K45" s="91">
        <f>'4o TRIMESTRE'!K45</f>
        <v>790</v>
      </c>
      <c r="L45" s="18">
        <f>'4o TRIMESTRE'!L45</f>
        <v>6770337.14</v>
      </c>
      <c r="M45" s="92">
        <f>'4o TRIMESTRE'!M45</f>
        <v>45242</v>
      </c>
      <c r="N45" s="91">
        <f>'4o TRIMESTRE'!N45</f>
        <v>91</v>
      </c>
      <c r="O45" s="18">
        <f>'4o TRIMESTRE'!O45</f>
        <v>883063.3200000001</v>
      </c>
      <c r="P45" s="18">
        <v>387124.78</v>
      </c>
      <c r="Q45" s="91" t="str">
        <f>'4o TRIMESTRE'!Q45</f>
        <v>3.3.90.39</v>
      </c>
      <c r="R45" s="18">
        <f>'4o TRIMESTRE'!R45</f>
        <v>3655826.79</v>
      </c>
      <c r="S45" s="18">
        <f>'4o TRIMESTRE'!S45</f>
        <v>0</v>
      </c>
      <c r="T45" s="18">
        <f>'4o TRIMESTRE'!T45</f>
        <v>863169.1599999999</v>
      </c>
      <c r="U45" s="18">
        <f>'4o TRIMESTRE'!U45</f>
        <v>2061477.0800000003</v>
      </c>
      <c r="V45" s="108" t="str">
        <f>'4o TRIMESTRE'!V45</f>
        <v>encerrado</v>
      </c>
      <c r="W45" s="93">
        <f t="shared" si="0"/>
        <v>1594349.7099999997</v>
      </c>
      <c r="X45" s="107" t="str">
        <f t="shared" si="1"/>
        <v>verdadeiro</v>
      </c>
      <c r="Z45" s="38"/>
      <c r="AC45" s="93"/>
    </row>
    <row r="46" spans="1:29" ht="20.25" customHeight="1">
      <c r="A46" s="90" t="str">
        <f>'4o TRIMESTRE'!A46</f>
        <v>CONCORRÊNCIA Licitação: 2/2021</v>
      </c>
      <c r="B46" s="90" t="str">
        <f>'4o TRIMESTRE'!B46</f>
        <v>RECUPERACAO DE ESCADARIAS. MUROS E CORRIMOES LOCALIZADAS NAS DIVERSAS NAS DIVERSAS REGIAO POLITICA ADMINISTRATIVA RPAS DA CIDADE DO RECIFE. DIVIDIDAS EM EM LOTES. LOTE I RPA 2; LOTE II RPA 3 E LOTE III RPA 4.5.6</v>
      </c>
      <c r="C46" s="90">
        <f>'4o TRIMESTRE'!C46</f>
        <v>0</v>
      </c>
      <c r="D46" s="18" t="str">
        <f>'4o TRIMESTRE'!D46</f>
        <v>FINISA</v>
      </c>
      <c r="E46" s="18">
        <f>'4o TRIMESTRE'!E46</f>
        <v>113346677.56</v>
      </c>
      <c r="F46" s="18">
        <f>'4o TRIMESTRE'!F46</f>
        <v>0</v>
      </c>
      <c r="G46" s="90" t="str">
        <f>'4o TRIMESTRE'!G46</f>
        <v>11.523.068/0001-71</v>
      </c>
      <c r="H46" s="90" t="str">
        <f>'4o TRIMESTRE'!H46</f>
        <v>CONSTRUTORA FAELLA LTDA EPP</v>
      </c>
      <c r="I46" s="91" t="str">
        <f>'4o TRIMESTRE'!I46</f>
        <v>6-021/21</v>
      </c>
      <c r="J46" s="92">
        <f>'4o TRIMESTRE'!J46</f>
        <v>44365</v>
      </c>
      <c r="K46" s="91">
        <f>'4o TRIMESTRE'!K46</f>
        <v>790</v>
      </c>
      <c r="L46" s="18">
        <f>'4o TRIMESTRE'!L46</f>
        <v>6226475.18</v>
      </c>
      <c r="M46" s="92">
        <f>'4o TRIMESTRE'!M46</f>
        <v>45155</v>
      </c>
      <c r="N46" s="91">
        <f>'4o TRIMESTRE'!N46</f>
        <v>0</v>
      </c>
      <c r="O46" s="18">
        <f>'4o TRIMESTRE'!O46</f>
        <v>898362.57</v>
      </c>
      <c r="P46" s="18">
        <v>69685073.5</v>
      </c>
      <c r="Q46" s="91" t="str">
        <f>'4o TRIMESTRE'!Q46</f>
        <v>3.3.90.39</v>
      </c>
      <c r="R46" s="18">
        <f>'4o TRIMESTRE'!R46</f>
        <v>8516995.75</v>
      </c>
      <c r="S46" s="18">
        <f>'4o TRIMESTRE'!S46</f>
        <v>0</v>
      </c>
      <c r="T46" s="18">
        <f>'4o TRIMESTRE'!T46</f>
        <v>2751230.7800000003</v>
      </c>
      <c r="U46" s="18">
        <f>'4o TRIMESTRE'!U46</f>
        <v>4334244.26</v>
      </c>
      <c r="V46" s="108" t="str">
        <f>'4o TRIMESTRE'!V46</f>
        <v>encerrado</v>
      </c>
      <c r="W46" s="93">
        <f t="shared" si="0"/>
        <v>4182751.49</v>
      </c>
      <c r="X46" s="107" t="str">
        <f t="shared" si="1"/>
        <v>verdadeiro</v>
      </c>
      <c r="Z46" s="38"/>
      <c r="AC46" s="93"/>
    </row>
    <row r="47" spans="1:29" ht="20.25" customHeight="1">
      <c r="A47" s="90" t="str">
        <f>'4o TRIMESTRE'!A47</f>
        <v>CONCORRÊNCIA Licitação: 2/2021</v>
      </c>
      <c r="B47" s="90" t="str">
        <f>'4o TRIMESTRE'!B47</f>
        <v>RECUPERACAO DE ESCADARIAS. MUROS E CORRIMOES LOCALIZADAS NAS DIVERSAS NAS DIVERSAS REGIAO POLITICA ADMINISTRATIVA RPAS DA CIDADE DO RECIFE. DIVIDIDAS EM EM LOTES. LOTE I RPA 2; LOTE II RPA 3 E LOTE III RPA 4.5.6</v>
      </c>
      <c r="C47" s="90">
        <f>'4o TRIMESTRE'!C47</f>
        <v>0</v>
      </c>
      <c r="D47" s="18" t="str">
        <f>'4o TRIMESTRE'!D47</f>
        <v>FINISA</v>
      </c>
      <c r="E47" s="18">
        <f>'4o TRIMESTRE'!E47</f>
        <v>113346677.56</v>
      </c>
      <c r="F47" s="18">
        <f>'4o TRIMESTRE'!F47</f>
        <v>0</v>
      </c>
      <c r="G47" s="90" t="str">
        <f>'4o TRIMESTRE'!G47</f>
        <v>07.693.988/0001-60</v>
      </c>
      <c r="H47" s="90" t="str">
        <f>'4o TRIMESTRE'!H47</f>
        <v>F R F ENGENHARIA LTDA</v>
      </c>
      <c r="I47" s="91" t="str">
        <f>'4o TRIMESTRE'!I47</f>
        <v>6-022/21</v>
      </c>
      <c r="J47" s="92">
        <f>'4o TRIMESTRE'!J47</f>
        <v>44365</v>
      </c>
      <c r="K47" s="91">
        <f>'4o TRIMESTRE'!K47</f>
        <v>790</v>
      </c>
      <c r="L47" s="18">
        <f>'4o TRIMESTRE'!L47</f>
        <v>9358982.33</v>
      </c>
      <c r="M47" s="92">
        <f>'4o TRIMESTRE'!M47</f>
        <v>45155</v>
      </c>
      <c r="N47" s="91">
        <f>'4o TRIMESTRE'!N47</f>
        <v>0</v>
      </c>
      <c r="O47" s="18">
        <f>'4o TRIMESTRE'!O47</f>
        <v>2108348.95</v>
      </c>
      <c r="P47" s="18">
        <v>1440957.39</v>
      </c>
      <c r="Q47" s="91" t="str">
        <f>'4o TRIMESTRE'!Q47</f>
        <v>3.3.90.39</v>
      </c>
      <c r="R47" s="18">
        <f>'4o TRIMESTRE'!R47</f>
        <v>8143229.76</v>
      </c>
      <c r="S47" s="18">
        <f>'4o TRIMESTRE'!S47</f>
        <v>0</v>
      </c>
      <c r="T47" s="18">
        <f>'4o TRIMESTRE'!T47</f>
        <v>3590680.35</v>
      </c>
      <c r="U47" s="18">
        <f>'4o TRIMESTRE'!U47</f>
        <v>5168053.55</v>
      </c>
      <c r="V47" s="108" t="str">
        <f>'4o TRIMESTRE'!V47</f>
        <v>andamento</v>
      </c>
      <c r="W47" s="93">
        <f t="shared" si="0"/>
        <v>2975176.21</v>
      </c>
      <c r="X47" s="107" t="str">
        <f t="shared" si="1"/>
        <v>verdadeiro</v>
      </c>
      <c r="Z47" s="38"/>
      <c r="AC47" s="93"/>
    </row>
    <row r="48" spans="1:29" ht="20.25" customHeight="1">
      <c r="A48" s="90" t="str">
        <f>'4o TRIMESTRE'!A48</f>
        <v>CONCORRÊNCIA Licitação: 2/2021</v>
      </c>
      <c r="B48" s="90" t="str">
        <f>'4o TRIMESTRE'!B48</f>
        <v>RECUPERACAO DE ESCADARIAS. MUROS E CORRIMOES LOCALIZADAS NAS DIVERSAS NAS DIVERSAS REGIAO POLITICA ADMINISTRATIVA RPAS DA CIDADE DO RECIFE. DIVIDIDAS EM EM LOTES. LOTE I RPA 2; LOTE II RPA 3 E LOTE III RPA 4.5.6</v>
      </c>
      <c r="C48" s="90">
        <f>'4o TRIMESTRE'!C48</f>
        <v>0</v>
      </c>
      <c r="D48" s="18" t="str">
        <f>'4o TRIMESTRE'!D48</f>
        <v>FINISA</v>
      </c>
      <c r="E48" s="18">
        <f>'4o TRIMESTRE'!E48</f>
        <v>113346677.56</v>
      </c>
      <c r="F48" s="18">
        <f>'4o TRIMESTRE'!F48</f>
        <v>0</v>
      </c>
      <c r="G48" s="90" t="str">
        <f>'4o TRIMESTRE'!G48</f>
        <v>10.811.370/0001-62</v>
      </c>
      <c r="H48" s="90" t="str">
        <f>'4o TRIMESTRE'!H48</f>
        <v>GUERRA CONSTRUCOES LTDA</v>
      </c>
      <c r="I48" s="91" t="str">
        <f>'4o TRIMESTRE'!I48</f>
        <v>6-023/21</v>
      </c>
      <c r="J48" s="92">
        <f>'4o TRIMESTRE'!J48</f>
        <v>44365</v>
      </c>
      <c r="K48" s="91">
        <f>'4o TRIMESTRE'!K48</f>
        <v>790</v>
      </c>
      <c r="L48" s="18">
        <f>'4o TRIMESTRE'!L48</f>
        <v>7403917.66</v>
      </c>
      <c r="M48" s="92">
        <f>'4o TRIMESTRE'!M48</f>
        <v>45155</v>
      </c>
      <c r="N48" s="91">
        <f>'4o TRIMESTRE'!N48</f>
        <v>0</v>
      </c>
      <c r="O48" s="18">
        <f>'4o TRIMESTRE'!O48</f>
        <v>1202174.2</v>
      </c>
      <c r="P48" s="18">
        <v>-56748.69</v>
      </c>
      <c r="Q48" s="91" t="str">
        <f>'4o TRIMESTRE'!Q48</f>
        <v>3.3.90.39</v>
      </c>
      <c r="R48" s="18">
        <f>'4o TRIMESTRE'!R48</f>
        <v>6139295.9</v>
      </c>
      <c r="S48" s="18">
        <f>'4o TRIMESTRE'!S48</f>
        <v>0</v>
      </c>
      <c r="T48" s="18">
        <f>'4o TRIMESTRE'!T48</f>
        <v>1172069.32</v>
      </c>
      <c r="U48" s="18">
        <f>'4o TRIMESTRE'!U48</f>
        <v>3445689.67</v>
      </c>
      <c r="V48" s="108" t="str">
        <f>'4o TRIMESTRE'!V48</f>
        <v>encerrado</v>
      </c>
      <c r="W48" s="93">
        <f t="shared" si="0"/>
        <v>2693606.2300000004</v>
      </c>
      <c r="X48" s="107" t="str">
        <f t="shared" si="1"/>
        <v>verdadeiro</v>
      </c>
      <c r="Z48" s="38"/>
      <c r="AC48" s="93"/>
    </row>
    <row r="49" spans="1:29" ht="20.25" customHeight="1">
      <c r="A49" s="90" t="str">
        <f>'4o TRIMESTRE'!A49</f>
        <v>CONCORRÊNCIA Licitação: 18/2020</v>
      </c>
      <c r="B49" s="90" t="str">
        <f>'4o TRIMESTRE'!B49</f>
        <v>CONTRATACAO DE SERVICOS DE MANUTENCAO PREVENTIVA IMPLANTACAO. REQUALIFICACAO E OU RECAPEAMENTO DE VIAS EM CONCRETO BETUMINOSO USINADO A QUENTE CBUQ DO SISTEMA VIARIO DA CIDADE DO RECIFE LOTE I RPA 1</v>
      </c>
      <c r="C49" s="90">
        <f>'4o TRIMESTRE'!C49</f>
        <v>0</v>
      </c>
      <c r="D49" s="18" t="str">
        <f>'4o TRIMESTRE'!D49</f>
        <v>FINISA e CTTU</v>
      </c>
      <c r="E49" s="18">
        <f>'4o TRIMESTRE'!E49</f>
        <v>139865458.63</v>
      </c>
      <c r="F49" s="18">
        <f>'4o TRIMESTRE'!F49</f>
        <v>0</v>
      </c>
      <c r="G49" s="90" t="str">
        <f>'4o TRIMESTRE'!G49</f>
        <v>40.882.060/0001-08</v>
      </c>
      <c r="H49" s="90" t="str">
        <f>'4o TRIMESTRE'!H49</f>
        <v>LIDERMAC CONSTRUCOES E EQUIPAMENTOS LTDA</v>
      </c>
      <c r="I49" s="91" t="str">
        <f>'4o TRIMESTRE'!I49</f>
        <v>6-024/21</v>
      </c>
      <c r="J49" s="92">
        <f>'4o TRIMESTRE'!J49</f>
        <v>44370</v>
      </c>
      <c r="K49" s="91">
        <f>'4o TRIMESTRE'!K49</f>
        <v>760</v>
      </c>
      <c r="L49" s="18">
        <f>'4o TRIMESTRE'!L49</f>
        <v>16439785.83</v>
      </c>
      <c r="M49" s="92">
        <f>'4o TRIMESTRE'!M49</f>
        <v>45130</v>
      </c>
      <c r="N49" s="91">
        <f>'4o TRIMESTRE'!N49</f>
        <v>0</v>
      </c>
      <c r="O49" s="18">
        <f>'4o TRIMESTRE'!O49</f>
        <v>0</v>
      </c>
      <c r="P49" s="18">
        <v>2473711.68</v>
      </c>
      <c r="Q49" s="91" t="str">
        <f>'4o TRIMESTRE'!Q49</f>
        <v>4.4.90.39</v>
      </c>
      <c r="R49" s="18">
        <f>'4o TRIMESTRE'!R49</f>
        <v>9598206.879999999</v>
      </c>
      <c r="S49" s="18">
        <f>'4o TRIMESTRE'!S49</f>
        <v>0</v>
      </c>
      <c r="T49" s="18">
        <f>'4o TRIMESTRE'!T49</f>
        <v>521000.34</v>
      </c>
      <c r="U49" s="18">
        <f>'4o TRIMESTRE'!U49</f>
        <v>5460448.72</v>
      </c>
      <c r="V49" s="108" t="str">
        <f>'4o TRIMESTRE'!V49</f>
        <v>andamento</v>
      </c>
      <c r="W49" s="93">
        <f t="shared" si="0"/>
        <v>4137758.159999999</v>
      </c>
      <c r="X49" s="107" t="str">
        <f t="shared" si="1"/>
        <v>verdadeiro</v>
      </c>
      <c r="Z49" s="38"/>
      <c r="AB49" s="41"/>
      <c r="AC49" s="93"/>
    </row>
    <row r="50" spans="1:29" ht="20.25" customHeight="1">
      <c r="A50" s="90" t="str">
        <f>'4o TRIMESTRE'!A50</f>
        <v>CONCORRÊNCIA Licitação: 18/2020</v>
      </c>
      <c r="B50" s="90" t="str">
        <f>'4o TRIMESTRE'!B50</f>
        <v>CONTRATACAO DE SERVICOS DE MANUTENCAO PREVENTIVA IMPLANTACAO. REQUALIFICACAO E OU RECAPEAMENTO DE VIAS EM CONCRETO BETUMINOSO USINADO A QUENTE CBUQ DO SISTEMA VIARIO DA CIDADE DO RECIFE LOTE II RPA 2 E 3</v>
      </c>
      <c r="C50" s="90">
        <f>'4o TRIMESTRE'!C50</f>
        <v>0</v>
      </c>
      <c r="D50" s="18" t="str">
        <f>'4o TRIMESTRE'!D50</f>
        <v>FINISA e CTTU</v>
      </c>
      <c r="E50" s="18">
        <f>'4o TRIMESTRE'!E50</f>
        <v>139865458.63</v>
      </c>
      <c r="F50" s="18">
        <f>'4o TRIMESTRE'!F50</f>
        <v>0</v>
      </c>
      <c r="G50" s="90" t="str">
        <f>'4o TRIMESTRE'!G50</f>
        <v>00.999.591/0001-52</v>
      </c>
      <c r="H50" s="90" t="str">
        <f>'4o TRIMESTRE'!H50</f>
        <v>AGC CONSTRUTORA E EMPREENDIMENTOS LTDA      </v>
      </c>
      <c r="I50" s="91" t="str">
        <f>'4o TRIMESTRE'!I50</f>
        <v>6-025/21</v>
      </c>
      <c r="J50" s="92">
        <f>'4o TRIMESTRE'!J50</f>
        <v>44370</v>
      </c>
      <c r="K50" s="91">
        <f>'4o TRIMESTRE'!K50</f>
        <v>760</v>
      </c>
      <c r="L50" s="18">
        <f>'4o TRIMESTRE'!L50</f>
        <v>16994062.08</v>
      </c>
      <c r="M50" s="92">
        <f>'4o TRIMESTRE'!M50</f>
        <v>45130</v>
      </c>
      <c r="N50" s="91">
        <f>'4o TRIMESTRE'!N50</f>
        <v>0</v>
      </c>
      <c r="O50" s="18">
        <f>'4o TRIMESTRE'!O50</f>
        <v>4178532.73</v>
      </c>
      <c r="P50" s="18">
        <v>0</v>
      </c>
      <c r="Q50" s="91" t="str">
        <f>'4o TRIMESTRE'!Q50</f>
        <v>4.4.90.39</v>
      </c>
      <c r="R50" s="18">
        <f>'4o TRIMESTRE'!R50</f>
        <v>19200308.700000003</v>
      </c>
      <c r="S50" s="18">
        <f>'4o TRIMESTRE'!S50</f>
        <v>0</v>
      </c>
      <c r="T50" s="18">
        <f>'4o TRIMESTRE'!T50</f>
        <v>7588990.09</v>
      </c>
      <c r="U50" s="18">
        <f>'4o TRIMESTRE'!U50</f>
        <v>15446471.530000001</v>
      </c>
      <c r="V50" s="108" t="str">
        <f>'4o TRIMESTRE'!V50</f>
        <v>andamento</v>
      </c>
      <c r="W50" s="93">
        <f t="shared" si="0"/>
        <v>3753837.170000002</v>
      </c>
      <c r="X50" s="107" t="str">
        <f t="shared" si="1"/>
        <v>verdadeiro</v>
      </c>
      <c r="Z50" s="38"/>
      <c r="AC50" s="93"/>
    </row>
    <row r="51" spans="1:29" ht="20.25" customHeight="1">
      <c r="A51" s="90" t="str">
        <f>'4o TRIMESTRE'!A51</f>
        <v>CONCORRÊNCIA Licitação: 18/2020</v>
      </c>
      <c r="B51" s="90" t="str">
        <f>'4o TRIMESTRE'!B51</f>
        <v>CONTRATACAO DE SERVICOS DE MANUTENCAO PREVENTIVA IMPLANTACAO. REQUALIFICACAO E OU RECAPEAMENTO DE VIAS EM CONCRETO BETUMINOSO USINADO A QUENTE CBUQ DO SISTEMA VIARIO DA CIDADE DO RECIFE LOTES III RPA 4 E 5</v>
      </c>
      <c r="C51" s="90">
        <f>'4o TRIMESTRE'!C51</f>
        <v>0</v>
      </c>
      <c r="D51" s="18" t="str">
        <f>'4o TRIMESTRE'!D51</f>
        <v>FINISA e CTTU</v>
      </c>
      <c r="E51" s="18">
        <f>'4o TRIMESTRE'!E51</f>
        <v>139865458.63</v>
      </c>
      <c r="F51" s="18">
        <f>'4o TRIMESTRE'!F51</f>
        <v>0</v>
      </c>
      <c r="G51" s="90" t="str">
        <f>'4o TRIMESTRE'!G51</f>
        <v>23.742.620/0001-00</v>
      </c>
      <c r="H51" s="90" t="str">
        <f>'4o TRIMESTRE'!H51</f>
        <v>INSTTALE ENGENHARIA LTDA</v>
      </c>
      <c r="I51" s="91" t="str">
        <f>'4o TRIMESTRE'!I51</f>
        <v>6-026/21</v>
      </c>
      <c r="J51" s="92">
        <f>'4o TRIMESTRE'!J51</f>
        <v>44370</v>
      </c>
      <c r="K51" s="91">
        <f>'4o TRIMESTRE'!K51</f>
        <v>760</v>
      </c>
      <c r="L51" s="18">
        <f>'4o TRIMESTRE'!L51</f>
        <v>21157084.25</v>
      </c>
      <c r="M51" s="92">
        <f>'4o TRIMESTRE'!M51+365</f>
        <v>45495</v>
      </c>
      <c r="N51" s="91">
        <f>'4o TRIMESTRE'!N51+365</f>
        <v>365</v>
      </c>
      <c r="O51" s="18">
        <v>23484577.2</v>
      </c>
      <c r="P51" s="18">
        <v>559078.56</v>
      </c>
      <c r="Q51" s="91" t="str">
        <f>'4o TRIMESTRE'!Q51</f>
        <v>4.4.90.39</v>
      </c>
      <c r="R51" s="18">
        <f>'4o TRIMESTRE'!R51</f>
        <v>18621995.169999998</v>
      </c>
      <c r="S51" s="18">
        <f>'4o TRIMESTRE'!S51</f>
        <v>0</v>
      </c>
      <c r="T51" s="18">
        <f>'4o TRIMESTRE'!T51</f>
        <v>7885868.430000001</v>
      </c>
      <c r="U51" s="18">
        <f>'4o TRIMESTRE'!U51</f>
        <v>17729510.229999997</v>
      </c>
      <c r="V51" s="108" t="str">
        <f>'4o TRIMESTRE'!V51</f>
        <v>andamento</v>
      </c>
      <c r="W51" s="93">
        <f t="shared" si="0"/>
        <v>892484.9400000013</v>
      </c>
      <c r="X51" s="107" t="str">
        <f t="shared" si="1"/>
        <v>verdadeiro</v>
      </c>
      <c r="Z51" s="38"/>
      <c r="AC51" s="93"/>
    </row>
    <row r="52" spans="1:29" ht="20.25" customHeight="1">
      <c r="A52" s="90" t="str">
        <f>'4o TRIMESTRE'!A52</f>
        <v>CONCORRÊNCIA Licitação: 18/2020</v>
      </c>
      <c r="B52" s="90" t="str">
        <f>'4o TRIMESTRE'!B52</f>
        <v>CONTRATACAO DE SERVICOS DE MANUTENCAO PREVENTIVA IMPLANTACAO. REQUALIFICACAO E OU RECAPEAMENTO DE VIAS EM CONCRETO BETUMINOSO USINADO A QUENTE CBUQ DO SISTEMA VIARIO DA CIDADE DO RECIFE LOTE IV RPA 6</v>
      </c>
      <c r="C52" s="90">
        <f>'4o TRIMESTRE'!C52</f>
        <v>0</v>
      </c>
      <c r="D52" s="18" t="str">
        <f>'4o TRIMESTRE'!D52</f>
        <v>FINISA e CTTU</v>
      </c>
      <c r="E52" s="18">
        <f>'4o TRIMESTRE'!E52</f>
        <v>139865458.63</v>
      </c>
      <c r="F52" s="18">
        <f>'4o TRIMESTRE'!F52</f>
        <v>0</v>
      </c>
      <c r="G52" s="90" t="str">
        <f>'4o TRIMESTRE'!G52</f>
        <v>40.882.060/0001-08</v>
      </c>
      <c r="H52" s="90" t="str">
        <f>'4o TRIMESTRE'!H52</f>
        <v>LIDERMAC CONSTRUCOES E EQUIPAMENTOS LTDA</v>
      </c>
      <c r="I52" s="91" t="str">
        <f>'4o TRIMESTRE'!I52</f>
        <v>6-027/21</v>
      </c>
      <c r="J52" s="92">
        <f>'4o TRIMESTRE'!J52</f>
        <v>44370</v>
      </c>
      <c r="K52" s="91">
        <f>'4o TRIMESTRE'!K52</f>
        <v>760</v>
      </c>
      <c r="L52" s="18">
        <f>'4o TRIMESTRE'!L52</f>
        <v>17242398.46</v>
      </c>
      <c r="M52" s="92">
        <f>'4o TRIMESTRE'!M52</f>
        <v>45130</v>
      </c>
      <c r="N52" s="91">
        <f>'4o TRIMESTRE'!N52</f>
        <v>0</v>
      </c>
      <c r="O52" s="18">
        <f>'4o TRIMESTRE'!O52</f>
        <v>4430000</v>
      </c>
      <c r="P52" s="18">
        <v>-57651.95</v>
      </c>
      <c r="Q52" s="91" t="str">
        <f>'4o TRIMESTRE'!Q52</f>
        <v>4.4.90.39</v>
      </c>
      <c r="R52" s="18">
        <f>'4o TRIMESTRE'!R52</f>
        <v>15102169.23</v>
      </c>
      <c r="S52" s="18">
        <f>'4o TRIMESTRE'!S52</f>
        <v>0</v>
      </c>
      <c r="T52" s="18">
        <f>'4o TRIMESTRE'!T52</f>
        <v>10124041.82</v>
      </c>
      <c r="U52" s="18">
        <f>'4o TRIMESTRE'!U52</f>
        <v>15094618.93</v>
      </c>
      <c r="V52" s="108" t="str">
        <f>'4o TRIMESTRE'!V52</f>
        <v>encerrado</v>
      </c>
      <c r="W52" s="93">
        <f t="shared" si="0"/>
        <v>7550.300000000745</v>
      </c>
      <c r="X52" s="107" t="str">
        <f t="shared" si="1"/>
        <v>verdadeiro</v>
      </c>
      <c r="Z52" s="38"/>
      <c r="AC52" s="93"/>
    </row>
    <row r="53" spans="1:29" ht="20.25" customHeight="1">
      <c r="A53" s="90" t="str">
        <f>'4o TRIMESTRE'!A53</f>
        <v>CONCORRÊNCIA Licitação: 16/2020</v>
      </c>
      <c r="B53" s="90" t="str">
        <f>'4o TRIMESTRE'!B53</f>
        <v>EXECUÇÃO DE SERVIÇOS DE REQUALIFICAÇÃO MANUTENÇÃO PREVENTIVA E CORRETIVA DE PRAÇAS, PARQUES E ÁREAS VERDES CANTEIROS DE AVENIDAS E REFÚGIOS DA CIDADE DO RECIFE RPAS 1,2 E 3</v>
      </c>
      <c r="C53" s="90" t="str">
        <f>'4o TRIMESTRE'!C53</f>
        <v>535346/2020</v>
      </c>
      <c r="D53" s="18">
        <f>'4o TRIMESTRE'!D53</f>
        <v>0</v>
      </c>
      <c r="E53" s="18">
        <f>'4o TRIMESTRE'!E53</f>
        <v>15823300.23</v>
      </c>
      <c r="F53" s="18">
        <f>'4o TRIMESTRE'!F53</f>
        <v>0</v>
      </c>
      <c r="G53" s="90" t="str">
        <f>'4o TRIMESTRE'!G53</f>
        <v>05.625.079/0001-60</v>
      </c>
      <c r="H53" s="90" t="str">
        <f>'4o TRIMESTRE'!H53</f>
        <v>CONSTRUTORA MARDIFI LTDA - EPP </v>
      </c>
      <c r="I53" s="91" t="str">
        <f>'4o TRIMESTRE'!I53</f>
        <v>6-028/21</v>
      </c>
      <c r="J53" s="92">
        <f>'4o TRIMESTRE'!J53</f>
        <v>44391</v>
      </c>
      <c r="K53" s="91">
        <f>'4o TRIMESTRE'!K53</f>
        <v>790</v>
      </c>
      <c r="L53" s="18">
        <f>'4o TRIMESTRE'!L53</f>
        <v>5538433.27</v>
      </c>
      <c r="M53" s="92">
        <f>'4o TRIMESTRE'!M53</f>
        <v>45181</v>
      </c>
      <c r="N53" s="91">
        <f>'4o TRIMESTRE'!N53</f>
        <v>0</v>
      </c>
      <c r="O53" s="18">
        <f>'4o TRIMESTRE'!O53</f>
        <v>1123031.08</v>
      </c>
      <c r="P53" s="18">
        <v>0</v>
      </c>
      <c r="Q53" s="91" t="str">
        <f>'4o TRIMESTRE'!Q53</f>
        <v>3.3.90.39</v>
      </c>
      <c r="R53" s="18">
        <f>'4o TRIMESTRE'!R53</f>
        <v>2023267.4499999997</v>
      </c>
      <c r="S53" s="18">
        <f>'4o TRIMESTRE'!S53</f>
        <v>0</v>
      </c>
      <c r="T53" s="18">
        <f>'4o TRIMESTRE'!T53</f>
        <v>1555310.1500000001</v>
      </c>
      <c r="U53" s="18">
        <f>'4o TRIMESTRE'!U53</f>
        <v>2023267.4500000002</v>
      </c>
      <c r="V53" s="108" t="str">
        <f>'4o TRIMESTRE'!V53</f>
        <v>andamento</v>
      </c>
      <c r="W53" s="93">
        <f t="shared" si="0"/>
        <v>0</v>
      </c>
      <c r="X53" s="107" t="str">
        <f t="shared" si="1"/>
        <v>verdadeiro</v>
      </c>
      <c r="Z53" s="38"/>
      <c r="AC53" s="93"/>
    </row>
    <row r="54" spans="1:29" ht="20.25" customHeight="1">
      <c r="A54" s="90" t="str">
        <f>'4o TRIMESTRE'!A54</f>
        <v>CONCORRÊNCIA Licitação: 16/2020</v>
      </c>
      <c r="B54" s="90" t="str">
        <f>'4o TRIMESTRE'!B54</f>
        <v>EXECUÇÃO DE SERVIÇOS DE REQUALIFICAÇÃO MANUTENÇÃO PREVENTIVA E CORRETIVA DE PRAÇAS, PARQUES E ÁREAS VERDES CANTEIROS DE AVENIDAS E REFÚGIOS DA CIDADE DO RECIFE RPAS 4,5 E 6</v>
      </c>
      <c r="C54" s="90">
        <f>'4o TRIMESTRE'!C54</f>
        <v>0</v>
      </c>
      <c r="D54" s="18">
        <f>'4o TRIMESTRE'!D54</f>
        <v>0</v>
      </c>
      <c r="E54" s="18">
        <f>'4o TRIMESTRE'!E54</f>
        <v>0</v>
      </c>
      <c r="F54" s="18">
        <f>'4o TRIMESTRE'!F54</f>
        <v>0</v>
      </c>
      <c r="G54" s="90" t="str">
        <f>'4o TRIMESTRE'!G54</f>
        <v>10.698.641/0001-15</v>
      </c>
      <c r="H54" s="90" t="str">
        <f>'4o TRIMESTRE'!H54</f>
        <v>CONSTRUTORA MASTER EIRELI ME</v>
      </c>
      <c r="I54" s="91" t="str">
        <f>'4o TRIMESTRE'!I54</f>
        <v>6-029/21</v>
      </c>
      <c r="J54" s="92">
        <f>'4o TRIMESTRE'!J54</f>
        <v>44391</v>
      </c>
      <c r="K54" s="91">
        <f>'4o TRIMESTRE'!K54</f>
        <v>790</v>
      </c>
      <c r="L54" s="18">
        <f>'4o TRIMESTRE'!L54</f>
        <v>6400029.52</v>
      </c>
      <c r="M54" s="92">
        <f>'4o TRIMESTRE'!M54</f>
        <v>45181</v>
      </c>
      <c r="N54" s="91">
        <f>'4o TRIMESTRE'!N54</f>
        <v>0</v>
      </c>
      <c r="O54" s="18">
        <f>'4o TRIMESTRE'!O54</f>
        <v>1599212.75</v>
      </c>
      <c r="P54" s="18">
        <v>-38325.02</v>
      </c>
      <c r="Q54" s="91" t="str">
        <f>'4o TRIMESTRE'!Q54</f>
        <v>3.3.90.39</v>
      </c>
      <c r="R54" s="18">
        <f>'4o TRIMESTRE'!R54</f>
        <v>3295225.5</v>
      </c>
      <c r="S54" s="18">
        <f>'4o TRIMESTRE'!S54</f>
        <v>0</v>
      </c>
      <c r="T54" s="18">
        <f>'4o TRIMESTRE'!T54</f>
        <v>1747231.82</v>
      </c>
      <c r="U54" s="18">
        <f>'4o TRIMESTRE'!U54</f>
        <v>3295225.5</v>
      </c>
      <c r="V54" s="108" t="str">
        <f>'4o TRIMESTRE'!V54</f>
        <v>encerrado</v>
      </c>
      <c r="W54" s="93">
        <f t="shared" si="0"/>
        <v>0</v>
      </c>
      <c r="X54" s="107" t="str">
        <f t="shared" si="1"/>
        <v>verdadeiro</v>
      </c>
      <c r="Z54" s="38"/>
      <c r="AC54" s="93"/>
    </row>
    <row r="55" spans="1:29" ht="20.25" customHeight="1">
      <c r="A55" s="90" t="str">
        <f>'4o TRIMESTRE'!A55</f>
        <v>Tomada de Preço Licitação: 003/2021</v>
      </c>
      <c r="B55" s="90" t="str">
        <f>'4o TRIMESTRE'!B55</f>
        <v>CONTRATAÇÃO DE EMPRESA DE DE ENGENHARIA ESPECIALIZADA EM ILUMINAÇÃO PUBLICA. PARA INSTALAÇÃO DE LUMINÁRIAS/PROJETORES COM TECNOLOGIA LED NA CIDADE DO RECIFE/PE COM FORNECIMENTO DE ACESSÓRIOS</v>
      </c>
      <c r="C55" s="90" t="str">
        <f>'4o TRIMESTRE'!C55</f>
        <v>535346/2020</v>
      </c>
      <c r="D55" s="18" t="str">
        <f>'4o TRIMESTRE'!D55</f>
        <v>FINISA</v>
      </c>
      <c r="E55" s="18">
        <f>'4o TRIMESTRE'!E55</f>
        <v>65823300.230000004</v>
      </c>
      <c r="F55" s="18">
        <f>'4o TRIMESTRE'!F55</f>
        <v>0</v>
      </c>
      <c r="G55" s="90" t="str">
        <f>'4o TRIMESTRE'!G55</f>
        <v>01.346.561/0001-00</v>
      </c>
      <c r="H55" s="90" t="str">
        <f>'4o TRIMESTRE'!H55</f>
        <v>VASCONCELOS E SANTOS LTDA</v>
      </c>
      <c r="I55" s="91" t="str">
        <f>'4o TRIMESTRE'!I55</f>
        <v>6-037/21</v>
      </c>
      <c r="J55" s="92">
        <f>'4o TRIMESTRE'!J55</f>
        <v>44495</v>
      </c>
      <c r="K55" s="91">
        <f>'4o TRIMESTRE'!K55</f>
        <v>395</v>
      </c>
      <c r="L55" s="18">
        <f>'4o TRIMESTRE'!L55</f>
        <v>1048809.4</v>
      </c>
      <c r="M55" s="92">
        <f>'4o TRIMESTRE'!M55</f>
        <v>44890</v>
      </c>
      <c r="N55" s="91">
        <f>'4o TRIMESTRE'!N55</f>
        <v>0</v>
      </c>
      <c r="O55" s="18">
        <f>'4o TRIMESTRE'!O55</f>
        <v>251613.71</v>
      </c>
      <c r="P55" s="18">
        <v>0</v>
      </c>
      <c r="Q55" s="91" t="str">
        <f>'4o TRIMESTRE'!Q55</f>
        <v>4.4.90.39</v>
      </c>
      <c r="R55" s="18">
        <f>'4o TRIMESTRE'!R55</f>
        <v>857505.39</v>
      </c>
      <c r="S55" s="18">
        <f>'4o TRIMESTRE'!S55</f>
        <v>0</v>
      </c>
      <c r="T55" s="18">
        <f>'4o TRIMESTRE'!T55</f>
        <v>530369.27</v>
      </c>
      <c r="U55" s="18">
        <f>'4o TRIMESTRE'!U55</f>
        <v>857505.3900000001</v>
      </c>
      <c r="V55" s="108" t="str">
        <f>'4o TRIMESTRE'!V55</f>
        <v>andamento</v>
      </c>
      <c r="W55" s="93">
        <f t="shared" si="0"/>
        <v>0</v>
      </c>
      <c r="X55" s="107" t="str">
        <f t="shared" si="1"/>
        <v>verdadeiro</v>
      </c>
      <c r="Z55" s="38"/>
      <c r="AC55" s="93"/>
    </row>
    <row r="56" spans="1:29" ht="20.25" customHeight="1">
      <c r="A56" s="90" t="str">
        <f>'4o TRIMESTRE'!A56</f>
        <v>Tomada de Preço Licitação: 004/2021</v>
      </c>
      <c r="B56" s="90" t="str">
        <f>'4o TRIMESTRE'!B56</f>
        <v>CONTRATACAO DE EMPRESA DE ENGENHARIA PARA PRESTACAO DOS SERVICOS DE MANUTENCAO DO ENROCAMENTO DE PEDRAS DA PROTECAO EXISTENTE NA ORLA DE BOA VIAGEM</v>
      </c>
      <c r="C56" s="90" t="str">
        <f>'4o TRIMESTRE'!C56</f>
        <v>535346/2020</v>
      </c>
      <c r="D56" s="18">
        <f>'4o TRIMESTRE'!D56</f>
        <v>0</v>
      </c>
      <c r="E56" s="18">
        <f>'4o TRIMESTRE'!E56</f>
        <v>15823300.23</v>
      </c>
      <c r="F56" s="18">
        <f>'4o TRIMESTRE'!F56</f>
        <v>0</v>
      </c>
      <c r="G56" s="90" t="str">
        <f>'4o TRIMESTRE'!G56</f>
        <v>70.086.111/0001-48</v>
      </c>
      <c r="H56" s="90" t="str">
        <f>'4o TRIMESTRE'!H56</f>
        <v>COASTAL - CONSTRUÇÕES E SOLUÇÕES TÉCNICAS AMBIENTAIS EIRELI</v>
      </c>
      <c r="I56" s="91" t="str">
        <f>'4o TRIMESTRE'!I56</f>
        <v>6-039/21</v>
      </c>
      <c r="J56" s="92">
        <f>'4o TRIMESTRE'!J56</f>
        <v>44455</v>
      </c>
      <c r="K56" s="91">
        <f>'4o TRIMESTRE'!K56</f>
        <v>455</v>
      </c>
      <c r="L56" s="18">
        <f>'4o TRIMESTRE'!L56</f>
        <v>1460562.75</v>
      </c>
      <c r="M56" s="92">
        <f>'4o TRIMESTRE'!M56</f>
        <v>44985</v>
      </c>
      <c r="N56" s="91">
        <f>'4o TRIMESTRE'!N56</f>
        <v>75</v>
      </c>
      <c r="O56" s="18">
        <f>'4o TRIMESTRE'!O56</f>
        <v>384689.92</v>
      </c>
      <c r="P56" s="18">
        <v>0</v>
      </c>
      <c r="Q56" s="91" t="str">
        <f>'4o TRIMESTRE'!Q56</f>
        <v>3.3.90.39</v>
      </c>
      <c r="R56" s="18">
        <f>'4o TRIMESTRE'!R56</f>
        <v>1994198.9900000002</v>
      </c>
      <c r="S56" s="18">
        <f>'4o TRIMESTRE'!S56</f>
        <v>0</v>
      </c>
      <c r="T56" s="18">
        <f>'4o TRIMESTRE'!T56</f>
        <v>1105078.19</v>
      </c>
      <c r="U56" s="18">
        <f>'4o TRIMESTRE'!U56</f>
        <v>1455714.9700000002</v>
      </c>
      <c r="V56" s="108" t="str">
        <f>'4o TRIMESTRE'!V56</f>
        <v>andamento</v>
      </c>
      <c r="W56" s="93">
        <f t="shared" si="0"/>
        <v>538484.02</v>
      </c>
      <c r="X56" s="107" t="str">
        <f t="shared" si="1"/>
        <v>verdadeiro</v>
      </c>
      <c r="Z56" s="38"/>
      <c r="AB56" s="25"/>
      <c r="AC56" s="93"/>
    </row>
    <row r="57" spans="1:29" ht="20.25" customHeight="1">
      <c r="A57" s="90" t="str">
        <f>'4o TRIMESTRE'!A57</f>
        <v>Concorrência Licitação: 009/2021</v>
      </c>
      <c r="B57" s="90" t="str">
        <f>'4o TRIMESTRE'!B57</f>
        <v>EXECUÇÃO DE SERVIÇOS DE RECUPERAÇÃO DE PASSARELAS, PONTILHÕES E ELEMENTOS LIMITADORES DE ESPAÇO OU PROTEÇÃO NAS DIVERSAS RPAS DA CIDADE DO RECIFE</v>
      </c>
      <c r="C57" s="90" t="str">
        <f>'4o TRIMESTRE'!C57</f>
        <v>495721/2018 e 535346/2020</v>
      </c>
      <c r="D57" s="18">
        <f>'4o TRIMESTRE'!D57</f>
        <v>0</v>
      </c>
      <c r="E57" s="18">
        <f>'4o TRIMESTRE'!E57</f>
        <v>0</v>
      </c>
      <c r="F57" s="18">
        <f>'4o TRIMESTRE'!F57</f>
        <v>0</v>
      </c>
      <c r="G57" s="90" t="str">
        <f>'4o TRIMESTRE'!G57</f>
        <v>10.811.370/0001-62</v>
      </c>
      <c r="H57" s="90" t="str">
        <f>'4o TRIMESTRE'!H57</f>
        <v>GUERRA CONSTRUCOES LTDA</v>
      </c>
      <c r="I57" s="91" t="str">
        <f>'4o TRIMESTRE'!I57</f>
        <v>6-042/21</v>
      </c>
      <c r="J57" s="92">
        <f>'4o TRIMESTRE'!J57</f>
        <v>44516</v>
      </c>
      <c r="K57" s="91">
        <f>'4o TRIMESTRE'!K57</f>
        <v>790</v>
      </c>
      <c r="L57" s="18">
        <f>'4o TRIMESTRE'!L57</f>
        <v>4874717.78</v>
      </c>
      <c r="M57" s="92">
        <f>'4o TRIMESTRE'!M57</f>
        <v>45306</v>
      </c>
      <c r="N57" s="91">
        <f>'4o TRIMESTRE'!N57</f>
        <v>0</v>
      </c>
      <c r="O57" s="18">
        <f>'4o TRIMESTRE'!O57</f>
        <v>1218573.59</v>
      </c>
      <c r="P57" s="18">
        <v>-59762.69</v>
      </c>
      <c r="Q57" s="91" t="str">
        <f>'4o TRIMESTRE'!Q57</f>
        <v>3.3.90.39</v>
      </c>
      <c r="R57" s="18">
        <f>'4o TRIMESTRE'!R57</f>
        <v>4279959.52</v>
      </c>
      <c r="S57" s="18">
        <f>'4o TRIMESTRE'!S57</f>
        <v>0</v>
      </c>
      <c r="T57" s="18">
        <f>'4o TRIMESTRE'!T57</f>
        <v>2902603.32</v>
      </c>
      <c r="U57" s="18">
        <f>'4o TRIMESTRE'!U57</f>
        <v>4051238.3099999996</v>
      </c>
      <c r="V57" s="108" t="str">
        <f>'4o TRIMESTRE'!V57</f>
        <v>andamento</v>
      </c>
      <c r="W57" s="93">
        <f t="shared" si="0"/>
        <v>228721.20999999996</v>
      </c>
      <c r="X57" s="107" t="str">
        <f t="shared" si="1"/>
        <v>verdadeiro</v>
      </c>
      <c r="Z57" s="38"/>
      <c r="AC57" s="93"/>
    </row>
    <row r="58" spans="1:29" ht="20.25" customHeight="1">
      <c r="A58" s="90" t="str">
        <f>'4o TRIMESTRE'!A58</f>
        <v>DISP 004/2021</v>
      </c>
      <c r="B58" s="90" t="str">
        <f>'4o TRIMESTRE'!B58</f>
        <v>CONTRATACAO DE SERVICOS EM CARATER EMERGENCIAL DE COLETA E LIMPEZA URBANA - LOTE 2</v>
      </c>
      <c r="C58" s="90" t="str">
        <f>'4o TRIMESTRE'!C58</f>
        <v>535346/2020</v>
      </c>
      <c r="D58" s="18">
        <f>'4o TRIMESTRE'!D58</f>
        <v>0</v>
      </c>
      <c r="E58" s="18">
        <f>'4o TRIMESTRE'!E58</f>
        <v>15823300.23</v>
      </c>
      <c r="F58" s="18">
        <f>'4o TRIMESTRE'!F58</f>
        <v>0</v>
      </c>
      <c r="G58" s="90" t="str">
        <f>'4o TRIMESTRE'!G58</f>
        <v>02.536.066/0015-21</v>
      </c>
      <c r="H58" s="90" t="str">
        <f>'4o TRIMESTRE'!H58</f>
        <v>VITAL ENGENHARIA AMBIENTAL S/A</v>
      </c>
      <c r="I58" s="91" t="str">
        <f>'4o TRIMESTRE'!I58</f>
        <v>6-044/21</v>
      </c>
      <c r="J58" s="92">
        <f>'4o TRIMESTRE'!J58</f>
        <v>44469</v>
      </c>
      <c r="K58" s="91">
        <f>'4o TRIMESTRE'!K58</f>
        <v>180</v>
      </c>
      <c r="L58" s="18">
        <f>'4o TRIMESTRE'!L58</f>
        <v>76577831.53</v>
      </c>
      <c r="M58" s="92">
        <f>'4o TRIMESTRE'!M58</f>
        <v>44649</v>
      </c>
      <c r="N58" s="91">
        <f>'4o TRIMESTRE'!N58</f>
        <v>0</v>
      </c>
      <c r="O58" s="18">
        <f>'4o TRIMESTRE'!O58</f>
        <v>0</v>
      </c>
      <c r="P58" s="18">
        <v>0</v>
      </c>
      <c r="Q58" s="91" t="str">
        <f>'4o TRIMESTRE'!Q58</f>
        <v>3.3.90.39</v>
      </c>
      <c r="R58" s="18">
        <f>'4o TRIMESTRE'!R58</f>
        <v>75302394.27999999</v>
      </c>
      <c r="S58" s="18">
        <f>'4o TRIMESTRE'!S58</f>
        <v>0</v>
      </c>
      <c r="T58" s="18">
        <f>'4o TRIMESTRE'!T58</f>
        <v>46567923.99999999</v>
      </c>
      <c r="U58" s="18">
        <f>'4o TRIMESTRE'!U58</f>
        <v>74004719.57</v>
      </c>
      <c r="V58" s="108" t="str">
        <f>'4o TRIMESTRE'!V58</f>
        <v>andamento</v>
      </c>
      <c r="W58" s="93">
        <f t="shared" si="0"/>
        <v>1297674.7099999934</v>
      </c>
      <c r="X58" s="107" t="str">
        <f t="shared" si="1"/>
        <v>verdadeiro</v>
      </c>
      <c r="Z58" s="38"/>
      <c r="AC58" s="93"/>
    </row>
    <row r="59" spans="1:29" ht="20.25" customHeight="1">
      <c r="A59" s="90" t="str">
        <f>'4o TRIMESTRE'!A59</f>
        <v>Pregão Eletrônico Licitação: 031/2021</v>
      </c>
      <c r="B59" s="90" t="str">
        <f>'4o TRIMESTRE'!B59</f>
        <v>CONTRATAÇÃO DE EMPRESA DE ENGENHARIA NA ÁREA DE GEOTÉCNIA PARA ENSAIO DE PENETRAÇÃO DE UM CONE ESTÁTICO DE AÇO COM MEDIDAS DE PRESSÕES NEUTRAS CPTU CONFORME PROCEDIMENTOS DA NORMA ASTM D 5778 95</v>
      </c>
      <c r="C59" s="90" t="str">
        <f>'4o TRIMESTRE'!C59</f>
        <v>495721/2018 e 535346/2020</v>
      </c>
      <c r="D59" s="18">
        <f>'4o TRIMESTRE'!D59</f>
        <v>0</v>
      </c>
      <c r="E59" s="18">
        <f>'4o TRIMESTRE'!E59</f>
        <v>0</v>
      </c>
      <c r="F59" s="18">
        <f>'4o TRIMESTRE'!F59</f>
        <v>0</v>
      </c>
      <c r="G59" s="90" t="str">
        <f>'4o TRIMESTRE'!G59</f>
        <v>18.968.880/0001-50</v>
      </c>
      <c r="H59" s="90" t="str">
        <f>'4o TRIMESTRE'!H59</f>
        <v>A1MC PROJETOS LTDA</v>
      </c>
      <c r="I59" s="91" t="str">
        <f>'4o TRIMESTRE'!I59</f>
        <v>6-045/21</v>
      </c>
      <c r="J59" s="92">
        <f>'4o TRIMESTRE'!J59</f>
        <v>44523</v>
      </c>
      <c r="K59" s="91">
        <f>'4o TRIMESTRE'!K59</f>
        <v>60</v>
      </c>
      <c r="L59" s="18">
        <f>'4o TRIMESTRE'!L59</f>
        <v>100000</v>
      </c>
      <c r="M59" s="92">
        <f>'4o TRIMESTRE'!M59</f>
        <v>44583</v>
      </c>
      <c r="N59" s="91">
        <f>'4o TRIMESTRE'!N59</f>
        <v>0</v>
      </c>
      <c r="O59" s="18">
        <f>'4o TRIMESTRE'!O59</f>
        <v>8966.94</v>
      </c>
      <c r="P59" s="18">
        <v>-88236.16</v>
      </c>
      <c r="Q59" s="91" t="str">
        <f>'4o TRIMESTRE'!Q59</f>
        <v>3.3.90.39</v>
      </c>
      <c r="R59" s="18">
        <f>'4o TRIMESTRE'!R59</f>
        <v>108966.93000000001</v>
      </c>
      <c r="S59" s="18">
        <f>'4o TRIMESTRE'!S59</f>
        <v>0</v>
      </c>
      <c r="T59" s="18">
        <f>'4o TRIMESTRE'!T59</f>
        <v>45018.95</v>
      </c>
      <c r="U59" s="18">
        <f>'4o TRIMESTRE'!U59</f>
        <v>108966.93</v>
      </c>
      <c r="V59" s="108" t="str">
        <f>'4o TRIMESTRE'!V59</f>
        <v>encerrado</v>
      </c>
      <c r="W59" s="93">
        <f t="shared" si="0"/>
        <v>0</v>
      </c>
      <c r="X59" s="107" t="str">
        <f t="shared" si="1"/>
        <v>verdadeiro</v>
      </c>
      <c r="Z59" s="38"/>
      <c r="AC59" s="93"/>
    </row>
    <row r="60" spans="1:29" ht="20.25" customHeight="1">
      <c r="A60" s="90" t="str">
        <f>'4o TRIMESTRE'!A60</f>
        <v>DISP 003/2021</v>
      </c>
      <c r="B60" s="90" t="str">
        <f>'4o TRIMESTRE'!B60</f>
        <v>CONTRATACAO DE SERVICO. EM CARATER EMERGENCIAL. DE COLETA E LIMPEZA URBANA LOTE 1</v>
      </c>
      <c r="C60" s="90">
        <f>'4o TRIMESTRE'!C60</f>
        <v>0</v>
      </c>
      <c r="D60" s="18">
        <f>'4o TRIMESTRE'!D60</f>
        <v>0</v>
      </c>
      <c r="E60" s="18">
        <f>'4o TRIMESTRE'!E60</f>
        <v>0</v>
      </c>
      <c r="F60" s="18">
        <f>'4o TRIMESTRE'!F60</f>
        <v>0</v>
      </c>
      <c r="G60" s="90" t="str">
        <f>'4o TRIMESTRE'!G60</f>
        <v>12.854.865/0001-02</v>
      </c>
      <c r="H60" s="90" t="str">
        <f>'4o TRIMESTRE'!H60</f>
        <v>COELHO DE  ANDRADE ENGENHARIA LTDA</v>
      </c>
      <c r="I60" s="91" t="str">
        <f>'4o TRIMESTRE'!I60</f>
        <v>6-048/21</v>
      </c>
      <c r="J60" s="92">
        <f>'4o TRIMESTRE'!J60</f>
        <v>44469</v>
      </c>
      <c r="K60" s="91">
        <f>'4o TRIMESTRE'!K60</f>
        <v>180</v>
      </c>
      <c r="L60" s="18">
        <f>'4o TRIMESTRE'!L60</f>
        <v>26846364.45</v>
      </c>
      <c r="M60" s="92">
        <f>'4o TRIMESTRE'!M60</f>
        <v>44649</v>
      </c>
      <c r="N60" s="91">
        <f>'4o TRIMESTRE'!N60</f>
        <v>0</v>
      </c>
      <c r="O60" s="18">
        <f>'4o TRIMESTRE'!O60</f>
        <v>0</v>
      </c>
      <c r="P60" s="18">
        <v>707143.97</v>
      </c>
      <c r="Q60" s="91" t="str">
        <f>'4o TRIMESTRE'!Q60</f>
        <v>3.3.90.39</v>
      </c>
      <c r="R60" s="18">
        <f>'4o TRIMESTRE'!R60</f>
        <v>25961243.74</v>
      </c>
      <c r="S60" s="18">
        <f>'4o TRIMESTRE'!S60</f>
        <v>0</v>
      </c>
      <c r="T60" s="18">
        <f>'4o TRIMESTRE'!T60</f>
        <v>13053855.730000002</v>
      </c>
      <c r="U60" s="18">
        <f>'4o TRIMESTRE'!U60</f>
        <v>24990165.110000003</v>
      </c>
      <c r="V60" s="108" t="str">
        <f>'4o TRIMESTRE'!V60</f>
        <v>andamento</v>
      </c>
      <c r="W60" s="93">
        <f t="shared" si="0"/>
        <v>971078.6299999952</v>
      </c>
      <c r="X60" s="107" t="str">
        <f t="shared" si="1"/>
        <v>verdadeiro</v>
      </c>
      <c r="Z60" s="38"/>
      <c r="AC60" s="93"/>
    </row>
    <row r="61" spans="1:29" ht="20.25" customHeight="1">
      <c r="A61" s="90" t="str">
        <f>'4o TRIMESTRE'!A61</f>
        <v>PREGÃO ELETRÔNICO Licitação: 26/2021</v>
      </c>
      <c r="B61" s="90" t="str">
        <f>'4o TRIMESTRE'!B61</f>
        <v>CONTRATAÇÃO DE EMPRESA ESPECIALIZADA EM ENGENHARIA SANITÁRIA PARA A EXECUÇÃO DOS SERVIÇOS DE COLETA E LIMPEZA URBANA NO MUNICÍPIO DO RECIFE</v>
      </c>
      <c r="C61" s="90" t="str">
        <f>'4o TRIMESTRE'!C61</f>
        <v>495721/2018 e 535346/2020</v>
      </c>
      <c r="D61" s="18">
        <f>'4o TRIMESTRE'!D61</f>
        <v>0</v>
      </c>
      <c r="E61" s="18">
        <f>'4o TRIMESTRE'!E61</f>
        <v>15823300.23</v>
      </c>
      <c r="F61" s="18">
        <f>'4o TRIMESTRE'!F61</f>
        <v>0</v>
      </c>
      <c r="G61" s="90" t="str">
        <f>'4o TRIMESTRE'!G61</f>
        <v>40.884.405/0001-54</v>
      </c>
      <c r="H61" s="90" t="str">
        <f>'4o TRIMESTRE'!H61</f>
        <v>LOQUIPE LOCACAO DE EQUIPAMENTOS E MAO DE OBRA LTDA</v>
      </c>
      <c r="I61" s="91" t="str">
        <f>'4o TRIMESTRE'!I61</f>
        <v>6-053/21</v>
      </c>
      <c r="J61" s="92">
        <f>'4o TRIMESTRE'!J61</f>
        <v>44530</v>
      </c>
      <c r="K61" s="91">
        <f>'4o TRIMESTRE'!K61</f>
        <v>1920</v>
      </c>
      <c r="L61" s="18">
        <f>'4o TRIMESTRE'!L61</f>
        <v>133146086.4</v>
      </c>
      <c r="M61" s="92">
        <f>'4o TRIMESTRE'!M61</f>
        <v>46450</v>
      </c>
      <c r="N61" s="91">
        <f>'4o TRIMESTRE'!N61</f>
        <v>0</v>
      </c>
      <c r="O61" s="18">
        <f>'4o TRIMESTRE'!O61</f>
        <v>0</v>
      </c>
      <c r="P61" s="18">
        <v>-86748.08</v>
      </c>
      <c r="Q61" s="91" t="str">
        <f>'4o TRIMESTRE'!Q61</f>
        <v>3.3.90.39</v>
      </c>
      <c r="R61" s="18">
        <f>'4o TRIMESTRE'!R61</f>
        <v>15355391.790000001</v>
      </c>
      <c r="S61" s="18">
        <f>'4o TRIMESTRE'!S61</f>
        <v>0</v>
      </c>
      <c r="T61" s="18">
        <f>'4o TRIMESTRE'!T61</f>
        <v>15355391.79</v>
      </c>
      <c r="U61" s="18">
        <f>'4o TRIMESTRE'!U61</f>
        <v>15355391.79</v>
      </c>
      <c r="V61" s="108" t="str">
        <f>'4o TRIMESTRE'!V61</f>
        <v>andamento</v>
      </c>
      <c r="W61" s="93">
        <f t="shared" si="0"/>
        <v>0</v>
      </c>
      <c r="X61" s="107" t="str">
        <f t="shared" si="1"/>
        <v>verdadeiro</v>
      </c>
      <c r="Z61" s="38"/>
      <c r="AC61" s="93"/>
    </row>
    <row r="62" spans="1:29" ht="20.25" customHeight="1">
      <c r="A62" s="90" t="str">
        <f>'4o TRIMESTRE'!A62</f>
        <v>Pregão Eletrônico Licitação: 032/2021</v>
      </c>
      <c r="B62" s="90" t="str">
        <f>'4o TRIMESTRE'!B62</f>
        <v>CONTRATAÇÃO DE EMPRESA ESPECIALIZADA NA PRESTAÇÃO DE SERVIÇOS CONTÍNUOS DE PAISAGISMO E CONSERVAÇÃO PREVENTIVA E CORRETIVA DE PARQUES, PRAÇAS, JARDINS E ÁREAS VERDES PÚBLICAS NA CIDADE DO RECIFE - LOTE 01</v>
      </c>
      <c r="C62" s="90">
        <f>'4o TRIMESTRE'!C62</f>
        <v>0</v>
      </c>
      <c r="D62" s="18">
        <f>'4o TRIMESTRE'!D62</f>
        <v>0</v>
      </c>
      <c r="E62" s="18">
        <f>'4o TRIMESTRE'!E62</f>
        <v>0</v>
      </c>
      <c r="F62" s="18">
        <f>'4o TRIMESTRE'!F62</f>
        <v>0</v>
      </c>
      <c r="G62" s="90" t="str">
        <f>'4o TRIMESTRE'!G62</f>
        <v>08.963.533/0001-80</v>
      </c>
      <c r="H62" s="90" t="str">
        <f>'4o TRIMESTRE'!H62</f>
        <v>FAR COMERCIO E SERVIÇOS PAISAGISTICOS LTDA</v>
      </c>
      <c r="I62" s="91" t="str">
        <f>'4o TRIMESTRE'!I62</f>
        <v>6-056/21</v>
      </c>
      <c r="J62" s="92">
        <f>'4o TRIMESTRE'!J62</f>
        <v>44531</v>
      </c>
      <c r="K62" s="91">
        <f>'4o TRIMESTRE'!K62</f>
        <v>760</v>
      </c>
      <c r="L62" s="18">
        <f>'4o TRIMESTRE'!L62</f>
        <v>3696587.52</v>
      </c>
      <c r="M62" s="92">
        <f>'4o TRIMESTRE'!M62</f>
        <v>45291</v>
      </c>
      <c r="N62" s="91">
        <f>'4o TRIMESTRE'!N62</f>
        <v>0</v>
      </c>
      <c r="O62" s="18">
        <v>100704.67</v>
      </c>
      <c r="P62" s="18">
        <v>1135184.8</v>
      </c>
      <c r="Q62" s="91" t="str">
        <f>'4o TRIMESTRE'!Q62</f>
        <v>3.3.90.39</v>
      </c>
      <c r="R62" s="18">
        <f>'4o TRIMESTRE'!R62</f>
        <v>2455155.71</v>
      </c>
      <c r="S62" s="18">
        <f>'4o TRIMESTRE'!S62</f>
        <v>0</v>
      </c>
      <c r="T62" s="18">
        <f>'4o TRIMESTRE'!T62</f>
        <v>1307677.24</v>
      </c>
      <c r="U62" s="18">
        <f>'4o TRIMESTRE'!U62</f>
        <v>1339249.04</v>
      </c>
      <c r="V62" s="108" t="str">
        <f>'4o TRIMESTRE'!V62</f>
        <v>andamento</v>
      </c>
      <c r="W62" s="93">
        <f t="shared" si="0"/>
        <v>1115906.67</v>
      </c>
      <c r="X62" s="107" t="str">
        <f t="shared" si="1"/>
        <v>verdadeiro</v>
      </c>
      <c r="Z62" s="38"/>
      <c r="AB62" s="25"/>
      <c r="AC62" s="93"/>
    </row>
    <row r="63" spans="1:29" ht="20.25" customHeight="1">
      <c r="A63" s="90" t="str">
        <f>'4o TRIMESTRE'!A63</f>
        <v>Pregão Eletrônico Licitação: 032/2021</v>
      </c>
      <c r="B63" s="90" t="str">
        <f>'4o TRIMESTRE'!B63</f>
        <v>CONTRATAÇÃO DE EMPRESA ESPECIALIZADA NA PRESTAÇÃO DE SERVIÇOS CONTÍNUOS DE PAISAGISMO E CONSERVAÇÃO PREVENTIVA E CORRETIVA DE PARQUES, PRAÇAS, JARDINS E ÁREAS VERDES PÚBLICOS NA CIDADE DO RECIFE - LOTE 02</v>
      </c>
      <c r="C63" s="90" t="str">
        <f>'4o TRIMESTRE'!C63</f>
        <v>495721/2018 e 535346/2020</v>
      </c>
      <c r="D63" s="18">
        <f>'4o TRIMESTRE'!D63</f>
        <v>0</v>
      </c>
      <c r="E63" s="18">
        <f>'4o TRIMESTRE'!E63</f>
        <v>15823300.23</v>
      </c>
      <c r="F63" s="18">
        <f>'4o TRIMESTRE'!F63</f>
        <v>0</v>
      </c>
      <c r="G63" s="90" t="str">
        <f>'4o TRIMESTRE'!G63</f>
        <v>08.963.533/0001-80</v>
      </c>
      <c r="H63" s="90" t="str">
        <f>'4o TRIMESTRE'!H63</f>
        <v>FAR COMERCIO E SERVIÇOS PAISAGISTICOS LTDA</v>
      </c>
      <c r="I63" s="91" t="str">
        <f>'4o TRIMESTRE'!I63</f>
        <v>6-057/21</v>
      </c>
      <c r="J63" s="92">
        <f>'4o TRIMESTRE'!J63</f>
        <v>44532</v>
      </c>
      <c r="K63" s="91">
        <f>'4o TRIMESTRE'!K63</f>
        <v>760</v>
      </c>
      <c r="L63" s="18">
        <f>'4o TRIMESTRE'!L63</f>
        <v>3380477.52</v>
      </c>
      <c r="M63" s="92">
        <f>'4o TRIMESTRE'!M63</f>
        <v>45292</v>
      </c>
      <c r="N63" s="91">
        <f>'4o TRIMESTRE'!N63</f>
        <v>0</v>
      </c>
      <c r="O63" s="18">
        <f>'4o TRIMESTRE'!O63</f>
        <v>255909.3</v>
      </c>
      <c r="P63" s="18">
        <v>-100291.84</v>
      </c>
      <c r="Q63" s="91" t="str">
        <f>'4o TRIMESTRE'!Q63</f>
        <v>3.3.90.39</v>
      </c>
      <c r="R63" s="18">
        <f>'4o TRIMESTRE'!R63</f>
        <v>1267083.3699999999</v>
      </c>
      <c r="S63" s="18">
        <f>'4o TRIMESTRE'!S63</f>
        <v>0</v>
      </c>
      <c r="T63" s="18">
        <f>'4o TRIMESTRE'!T63</f>
        <v>1207513.91</v>
      </c>
      <c r="U63" s="18">
        <f>'4o TRIMESTRE'!U63</f>
        <v>1267083.3699999999</v>
      </c>
      <c r="V63" s="108" t="str">
        <f>'4o TRIMESTRE'!V63</f>
        <v>andamento</v>
      </c>
      <c r="W63" s="93">
        <f t="shared" si="0"/>
        <v>0</v>
      </c>
      <c r="X63" s="107" t="str">
        <f t="shared" si="1"/>
        <v>verdadeiro</v>
      </c>
      <c r="Z63" s="38"/>
      <c r="AB63" s="38"/>
      <c r="AC63" s="93"/>
    </row>
    <row r="64" spans="1:29" ht="20.25" customHeight="1">
      <c r="A64" s="90" t="str">
        <f>'4o TRIMESTRE'!A64</f>
        <v>PREGÃO ELETRÔNICO Licitação: 21/2021</v>
      </c>
      <c r="B64" s="90" t="str">
        <f>'4o TRIMESTRE'!B64</f>
        <v>SERVIÇOS DE REFORMA NAS DEPENDÊNCIAS DO CENTRO DE COMPOSTAGEM, LOCALIZADO NO CURADO - PE</v>
      </c>
      <c r="C64" s="90">
        <f>'4o TRIMESTRE'!C64</f>
        <v>0</v>
      </c>
      <c r="D64" s="18">
        <f>'4o TRIMESTRE'!D64</f>
        <v>0</v>
      </c>
      <c r="E64" s="18">
        <f>'4o TRIMESTRE'!E64</f>
        <v>0</v>
      </c>
      <c r="F64" s="18">
        <f>'4o TRIMESTRE'!F64</f>
        <v>0</v>
      </c>
      <c r="G64" s="90" t="str">
        <f>'4o TRIMESTRE'!G64</f>
        <v>41.116.138/0001-38</v>
      </c>
      <c r="H64" s="90" t="str">
        <f>'4o TRIMESTRE'!H64</f>
        <v>REAL ENERGY LTDA</v>
      </c>
      <c r="I64" s="91" t="str">
        <f>'4o TRIMESTRE'!I64</f>
        <v>6-033/21</v>
      </c>
      <c r="J64" s="92">
        <f>'4o TRIMESTRE'!J64</f>
        <v>44517</v>
      </c>
      <c r="K64" s="91">
        <f>'4o TRIMESTRE'!K64</f>
        <v>90</v>
      </c>
      <c r="L64" s="18">
        <f>'4o TRIMESTRE'!L64</f>
        <v>138202.17</v>
      </c>
      <c r="M64" s="92">
        <f>'4o TRIMESTRE'!M64</f>
        <v>44607</v>
      </c>
      <c r="N64" s="91">
        <f>'4o TRIMESTRE'!N64</f>
        <v>0</v>
      </c>
      <c r="O64" s="18">
        <f>'4o TRIMESTRE'!O64</f>
        <v>105238.25</v>
      </c>
      <c r="P64" s="18">
        <f>13595811.38-L64</f>
        <v>13457609.21</v>
      </c>
      <c r="Q64" s="91" t="str">
        <f>'4o TRIMESTRE'!Q64</f>
        <v>3.3.90.39</v>
      </c>
      <c r="R64" s="18">
        <f>'4o TRIMESTRE'!R64</f>
        <v>1361120.9</v>
      </c>
      <c r="S64" s="18">
        <f>'4o TRIMESTRE'!S64</f>
        <v>0</v>
      </c>
      <c r="T64" s="18">
        <f>'4o TRIMESTRE'!T64</f>
        <v>117656.25</v>
      </c>
      <c r="U64" s="18">
        <f>'4o TRIMESTRE'!U64</f>
        <v>117656.25</v>
      </c>
      <c r="V64" s="108" t="str">
        <f>'4o TRIMESTRE'!V64</f>
        <v>encerrado</v>
      </c>
      <c r="W64" s="93">
        <f t="shared" si="0"/>
        <v>1243464.65</v>
      </c>
      <c r="X64" s="107" t="str">
        <f t="shared" si="1"/>
        <v>verdadeiro</v>
      </c>
      <c r="Z64" s="38"/>
      <c r="AB64" s="38"/>
      <c r="AC64" s="93"/>
    </row>
    <row r="65" spans="1:29" ht="20.25" customHeight="1">
      <c r="A65" s="90" t="str">
        <f>'4o TRIMESTRE'!A65</f>
        <v>CONCORRÊNCIA Licitação: 006/2021</v>
      </c>
      <c r="B65" s="90" t="str">
        <f>'4o TRIMESTRE'!B65</f>
        <v>CONTRATAÇÃO DE EMPRESA DE ENGENHARIA, PARA EXECUÇÃO DOS SERVIÇOS DE IMPLANTAÇÃO DA REDE DE DRENAGEM, PAVIMENTAÇÃO, ACESSIBILIDADE E SINALIZAÇÃO DAS RUAS DESEMBARGADOR VIRGÍLIO DE SA PEREIRA E MATHUZALEM WANDERLEY, LOCALIZADAS NO BAIRRO DO CORDEIRO. LOTE 01</v>
      </c>
      <c r="C65" s="90">
        <f>'4o TRIMESTRE'!C65</f>
        <v>0</v>
      </c>
      <c r="D65" s="18" t="str">
        <f>'4o TRIMESTRE'!D65</f>
        <v>Emenda Parlamentar Federal</v>
      </c>
      <c r="E65" s="18">
        <f>'4o TRIMESTRE'!E65</f>
        <v>3820000</v>
      </c>
      <c r="F65" s="18">
        <f>'4o TRIMESTRE'!F65</f>
        <v>8000</v>
      </c>
      <c r="G65" s="90" t="str">
        <f>'4o TRIMESTRE'!G65</f>
        <v>02.724.778/0001-79</v>
      </c>
      <c r="H65" s="90" t="str">
        <f>'4o TRIMESTRE'!H65</f>
        <v>UNITERRA - UNIAO TERRAPLENAGEM E CONSTRUCOES LTDA</v>
      </c>
      <c r="I65" s="91" t="str">
        <f>'4o TRIMESTRE'!I65</f>
        <v>6-035/21</v>
      </c>
      <c r="J65" s="92">
        <f>'4o TRIMESTRE'!J65</f>
        <v>44456</v>
      </c>
      <c r="K65" s="91">
        <f>'4o TRIMESTRE'!K65</f>
        <v>210</v>
      </c>
      <c r="L65" s="18">
        <f>'4o TRIMESTRE'!L65</f>
        <v>2111167.85</v>
      </c>
      <c r="M65" s="92">
        <f>'4o TRIMESTRE'!M65</f>
        <v>44882</v>
      </c>
      <c r="N65" s="91">
        <f>'4o TRIMESTRE'!N65</f>
        <v>216</v>
      </c>
      <c r="O65" s="18">
        <f>'4o TRIMESTRE'!O65</f>
        <v>0</v>
      </c>
      <c r="P65" s="18">
        <v>3401715.99</v>
      </c>
      <c r="Q65" s="91" t="str">
        <f>'4o TRIMESTRE'!Q65</f>
        <v>4.4.90.39</v>
      </c>
      <c r="R65" s="18">
        <f>'4o TRIMESTRE'!R65</f>
        <v>1651012.1600000001</v>
      </c>
      <c r="S65" s="18">
        <f>'4o TRIMESTRE'!S65</f>
        <v>0</v>
      </c>
      <c r="T65" s="18">
        <f>'4o TRIMESTRE'!T65</f>
        <v>499606.08</v>
      </c>
      <c r="U65" s="18">
        <f>'4o TRIMESTRE'!U65</f>
        <v>499606.08</v>
      </c>
      <c r="V65" s="108" t="str">
        <f>'4o TRIMESTRE'!V65</f>
        <v>andamento</v>
      </c>
      <c r="W65" s="93">
        <f t="shared" si="0"/>
        <v>1151406.08</v>
      </c>
      <c r="X65" s="107" t="str">
        <f t="shared" si="1"/>
        <v>verdadeiro</v>
      </c>
      <c r="Z65" s="38"/>
      <c r="AB65" s="41"/>
      <c r="AC65" s="93"/>
    </row>
    <row r="66" spans="1:29" ht="20.25" customHeight="1">
      <c r="A66" s="90" t="str">
        <f>'4o TRIMESTRE'!A66</f>
        <v>CONCORRÊNCIA Licitação: 006/2021</v>
      </c>
      <c r="B66" s="90" t="str">
        <f>'4o TRIMESTRE'!B66</f>
        <v>CONTRATAÇÃO DE EMPRESA DE ENGENHARIA, PARA EXECUÇÃO DOS SERVIÇOS DE IMPLANTAÇÃO DA REDE DE DRENAGEM, PAVIMENTAÇÃO, ACESSIBILIDADE E SINALIZAÇÃO DAS RUAS DESEMBARGADOR VIRGÍLIO DE SA PEREIRA E MATHUZALEM WANDERLEY, LOCALIZADAS NO BAIRRO DO CORDEIRO. LOTE 02</v>
      </c>
      <c r="C66" s="90" t="str">
        <f>'4o TRIMESTRE'!C66</f>
        <v>535346/2020</v>
      </c>
      <c r="D66" s="18" t="str">
        <f>'4o TRIMESTRE'!D66</f>
        <v>Emenda Parlamentar Federal</v>
      </c>
      <c r="E66" s="18">
        <f>'4o TRIMESTRE'!E66</f>
        <v>19643300.23</v>
      </c>
      <c r="F66" s="18">
        <f>'4o TRIMESTRE'!F66</f>
        <v>8000</v>
      </c>
      <c r="G66" s="90" t="str">
        <f>'4o TRIMESTRE'!G66</f>
        <v>02.724.778/0001-79</v>
      </c>
      <c r="H66" s="90" t="str">
        <f>'4o TRIMESTRE'!H66</f>
        <v>UNITERRA - UNIAO TERRAPLENAGEM E CONSTRUCOES LTDA</v>
      </c>
      <c r="I66" s="91" t="str">
        <f>'4o TRIMESTRE'!I66</f>
        <v>6-041/21</v>
      </c>
      <c r="J66" s="92">
        <f>'4o TRIMESTRE'!J66</f>
        <v>44456</v>
      </c>
      <c r="K66" s="91">
        <f>'4o TRIMESTRE'!K66</f>
        <v>180</v>
      </c>
      <c r="L66" s="18">
        <f>'4o TRIMESTRE'!L66</f>
        <v>1022476.9</v>
      </c>
      <c r="M66" s="92">
        <f>'4o TRIMESTRE'!M66</f>
        <v>44906</v>
      </c>
      <c r="N66" s="91">
        <f>'4o TRIMESTRE'!N66</f>
        <v>270</v>
      </c>
      <c r="O66" s="18">
        <f>'4o TRIMESTRE'!O66</f>
        <v>0</v>
      </c>
      <c r="P66" s="18">
        <v>0</v>
      </c>
      <c r="Q66" s="91" t="str">
        <f>'4o TRIMESTRE'!Q66</f>
        <v>4.4.90.39</v>
      </c>
      <c r="R66" s="18">
        <f>'4o TRIMESTRE'!R66</f>
        <v>243293.74</v>
      </c>
      <c r="S66" s="18">
        <f>'4o TRIMESTRE'!S66</f>
        <v>0</v>
      </c>
      <c r="T66" s="18">
        <f>'4o TRIMESTRE'!T66</f>
        <v>239052.4</v>
      </c>
      <c r="U66" s="18">
        <f>'4o TRIMESTRE'!U66</f>
        <v>239052.4</v>
      </c>
      <c r="V66" s="108" t="str">
        <f>'4o TRIMESTRE'!V66</f>
        <v>andamento</v>
      </c>
      <c r="W66" s="93">
        <f t="shared" si="0"/>
        <v>4241.3399999999965</v>
      </c>
      <c r="X66" s="107" t="str">
        <f t="shared" si="1"/>
        <v>verdadeiro</v>
      </c>
      <c r="Z66" s="38"/>
      <c r="AB66" s="38"/>
      <c r="AC66" s="93"/>
    </row>
    <row r="67" spans="1:29" ht="20.25" customHeight="1">
      <c r="A67" s="90" t="str">
        <f>'4o TRIMESTRE'!A67</f>
        <v>CONCORRÊNCIA Licitação: 011/2021</v>
      </c>
      <c r="B67" s="90" t="str">
        <f>'4o TRIMESTRE'!B67</f>
        <v>CONTRATAÇÃO DE SERVIÇOS DE APOIO TÉCNICO AO MONITORAMENTO DAS AÇÕES DE MANUTENÇÃO DO SISTEMA VIÁRIO DA CIDADE DO RECIFE</v>
      </c>
      <c r="C67" s="90" t="str">
        <f>'4o TRIMESTRE'!C67</f>
        <v>495721/2018 e 535346/2020</v>
      </c>
      <c r="D67" s="18">
        <f>'4o TRIMESTRE'!D67</f>
        <v>0</v>
      </c>
      <c r="E67" s="18">
        <f>'4o TRIMESTRE'!E67</f>
        <v>15823300.23</v>
      </c>
      <c r="F67" s="18">
        <f>'4o TRIMESTRE'!F67</f>
        <v>0</v>
      </c>
      <c r="G67" s="90" t="str">
        <f>'4o TRIMESTRE'!G67</f>
        <v>41.075.755/0001-32</v>
      </c>
      <c r="H67" s="90" t="str">
        <f>'4o TRIMESTRE'!H67</f>
        <v>NORCONSULT PROJETOS E CONSULTORIA LTDA</v>
      </c>
      <c r="I67" s="91" t="str">
        <f>'4o TRIMESTRE'!I67</f>
        <v>6-055/21</v>
      </c>
      <c r="J67" s="92">
        <f>'4o TRIMESTRE'!J67</f>
        <v>44531</v>
      </c>
      <c r="K67" s="91">
        <f>'4o TRIMESTRE'!K67</f>
        <v>1155</v>
      </c>
      <c r="L67" s="18">
        <f>'4o TRIMESTRE'!L67</f>
        <v>6729243.9</v>
      </c>
      <c r="M67" s="92">
        <f>'4o TRIMESTRE'!M67</f>
        <v>45686</v>
      </c>
      <c r="N67" s="91">
        <f>'4o TRIMESTRE'!N67</f>
        <v>0</v>
      </c>
      <c r="O67" s="18">
        <f>'4o TRIMESTRE'!O67</f>
        <v>54430.78</v>
      </c>
      <c r="P67" s="18">
        <v>-56350.94</v>
      </c>
      <c r="Q67" s="91" t="str">
        <f>'4o TRIMESTRE'!Q67</f>
        <v>3.3.90.39</v>
      </c>
      <c r="R67" s="18">
        <f>'4o TRIMESTRE'!R67</f>
        <v>893170.03</v>
      </c>
      <c r="S67" s="18">
        <f>'4o TRIMESTRE'!S67</f>
        <v>0</v>
      </c>
      <c r="T67" s="18">
        <f>'4o TRIMESTRE'!T67</f>
        <v>893169.73</v>
      </c>
      <c r="U67" s="18">
        <f>'4o TRIMESTRE'!U67</f>
        <v>893169.73</v>
      </c>
      <c r="V67" s="108" t="str">
        <f>'4o TRIMESTRE'!V67</f>
        <v>encerrado</v>
      </c>
      <c r="W67" s="93">
        <f t="shared" si="0"/>
        <v>0.30000000004656613</v>
      </c>
      <c r="X67" s="107" t="str">
        <f t="shared" si="1"/>
        <v>verdadeiro</v>
      </c>
      <c r="Y67" s="12"/>
      <c r="Z67" s="38"/>
      <c r="AB67" s="38"/>
      <c r="AC67" s="93"/>
    </row>
    <row r="68" spans="1:29" ht="20.25" customHeight="1">
      <c r="A68" s="90" t="str">
        <f>'4o TRIMESTRE'!A68</f>
        <v>CONCORRÊNCIA Licitação: 15/2021</v>
      </c>
      <c r="B68" s="90" t="str">
        <f>'4o TRIMESTRE'!B68</f>
        <v>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v>
      </c>
      <c r="C68" s="90" t="str">
        <f>'4o TRIMESTRE'!C68</f>
        <v>535346/2020</v>
      </c>
      <c r="D68" s="18">
        <f>'4o TRIMESTRE'!D68</f>
        <v>0</v>
      </c>
      <c r="E68" s="18">
        <f>'4o TRIMESTRE'!E68</f>
        <v>15823300.23</v>
      </c>
      <c r="F68" s="18">
        <f>'4o TRIMESTRE'!F68</f>
        <v>0</v>
      </c>
      <c r="G68" s="90" t="str">
        <f>'4o TRIMESTRE'!G68</f>
        <v>12.285.441/0001-66</v>
      </c>
      <c r="H68" s="90" t="str">
        <f>'4o TRIMESTRE'!H68</f>
        <v>TPF ENGENHARIA LTDA</v>
      </c>
      <c r="I68" s="91" t="str">
        <f>'4o TRIMESTRE'!I68</f>
        <v>6-058/21</v>
      </c>
      <c r="J68" s="92">
        <f>'4o TRIMESTRE'!J68</f>
        <v>44531</v>
      </c>
      <c r="K68" s="91">
        <f>'4o TRIMESTRE'!K68</f>
        <v>1890</v>
      </c>
      <c r="L68" s="18">
        <f>'4o TRIMESTRE'!L68</f>
        <v>39551349</v>
      </c>
      <c r="M68" s="92">
        <f>'4o TRIMESTRE'!M68</f>
        <v>46421</v>
      </c>
      <c r="N68" s="91">
        <f>'4o TRIMESTRE'!N68</f>
        <v>0</v>
      </c>
      <c r="O68" s="18">
        <f>'4o TRIMESTRE'!O68</f>
        <v>0</v>
      </c>
      <c r="P68" s="18">
        <v>0</v>
      </c>
      <c r="Q68" s="91" t="str">
        <f>'4o TRIMESTRE'!Q68</f>
        <v>3.3.90.39</v>
      </c>
      <c r="R68" s="18">
        <f>'4o TRIMESTRE'!R68</f>
        <v>5295770.79</v>
      </c>
      <c r="S68" s="18">
        <f>'4o TRIMESTRE'!S68</f>
        <v>0</v>
      </c>
      <c r="T68" s="18">
        <f>'4o TRIMESTRE'!T68</f>
        <v>5295770.790000001</v>
      </c>
      <c r="U68" s="18">
        <f>'4o TRIMESTRE'!U68</f>
        <v>5295770.790000001</v>
      </c>
      <c r="V68" s="108" t="str">
        <f>'4o TRIMESTRE'!V68</f>
        <v>andamento</v>
      </c>
      <c r="W68" s="93">
        <f t="shared" si="0"/>
        <v>0</v>
      </c>
      <c r="X68" s="107" t="str">
        <f t="shared" si="1"/>
        <v>verdadeiro</v>
      </c>
      <c r="Z68" s="38"/>
      <c r="AC68" s="93"/>
    </row>
    <row r="69" spans="1:29" ht="20.25" customHeight="1">
      <c r="A69" s="90" t="str">
        <f>'4o TRIMESTRE'!A69</f>
        <v>CONCORRÊNCIA Licitação: 010/2021</v>
      </c>
      <c r="B69" s="90" t="str">
        <f>'4o TRIMESTRE'!B69</f>
        <v>CONTRATACAÇÃO DE EMPRESA ESPECIALIZADA NO RAMO DE ENGENHARIA PARA EXECUÇÃO DOS SERVIÇOS DE RECUPERAÇÃO DA REDE DE DRENAGEM NO ENTORNO DA PRAÇA MIGUEL DE CERVANTES, ILHA DO LEITE - RECIFE PE</v>
      </c>
      <c r="C69" s="90" t="str">
        <f>'4o TRIMESTRE'!C69</f>
        <v>535346/2020</v>
      </c>
      <c r="D69" s="18">
        <f>'4o TRIMESTRE'!D69</f>
        <v>0</v>
      </c>
      <c r="E69" s="18">
        <f>'4o TRIMESTRE'!E69</f>
        <v>15823300.23</v>
      </c>
      <c r="F69" s="18">
        <f>'4o TRIMESTRE'!F69</f>
        <v>0</v>
      </c>
      <c r="G69" s="90" t="str">
        <f>'4o TRIMESTRE'!G69</f>
        <v>07.654.042/0001-95</v>
      </c>
      <c r="H69" s="90" t="str">
        <f>'4o TRIMESTRE'!H69</f>
        <v>ALTA SERVIÇOS DE ENGENHARIA LTDA - EPP</v>
      </c>
      <c r="I69" s="91" t="str">
        <f>'4o TRIMESTRE'!I69</f>
        <v>6-059/21</v>
      </c>
      <c r="J69" s="92">
        <f>'4o TRIMESTRE'!J69</f>
        <v>44636</v>
      </c>
      <c r="K69" s="91">
        <f>'4o TRIMESTRE'!K69</f>
        <v>90</v>
      </c>
      <c r="L69" s="18">
        <f>'4o TRIMESTRE'!L69</f>
        <v>911954.77</v>
      </c>
      <c r="M69" s="92">
        <f>'4o TRIMESTRE'!M69</f>
        <v>44788</v>
      </c>
      <c r="N69" s="91">
        <f>'4o TRIMESTRE'!N69</f>
        <v>62</v>
      </c>
      <c r="O69" s="18">
        <f>'4o TRIMESTRE'!O69</f>
        <v>100401.05</v>
      </c>
      <c r="P69" s="18">
        <v>37426.51</v>
      </c>
      <c r="Q69" s="91" t="str">
        <f>'4o TRIMESTRE'!Q69</f>
        <v>4.4.90.39</v>
      </c>
      <c r="R69" s="18">
        <f>'4o TRIMESTRE'!R69</f>
        <v>998381.65</v>
      </c>
      <c r="S69" s="18">
        <f>'4o TRIMESTRE'!S69</f>
        <v>0</v>
      </c>
      <c r="T69" s="18">
        <f>'4o TRIMESTRE'!T69</f>
        <v>998381.65</v>
      </c>
      <c r="U69" s="18">
        <f>'4o TRIMESTRE'!U69</f>
        <v>998381.65</v>
      </c>
      <c r="V69" s="108" t="str">
        <f>'4o TRIMESTRE'!V69</f>
        <v>encerrado</v>
      </c>
      <c r="W69" s="93">
        <f t="shared" si="0"/>
        <v>0</v>
      </c>
      <c r="X69" s="107" t="str">
        <f t="shared" si="1"/>
        <v>verdadeiro</v>
      </c>
      <c r="Z69" s="38"/>
      <c r="AC69" s="93"/>
    </row>
    <row r="70" spans="1:29" ht="20.25" customHeight="1">
      <c r="A70" s="90" t="str">
        <f>'4o TRIMESTRE'!A70</f>
        <v>TOMADA DE PREÇOS Licitação: 007/2021</v>
      </c>
      <c r="B70" s="90" t="str">
        <f>'4o TRIMESTRE'!B70</f>
        <v>CONTRATAÇÃO DE EMPRESA ESPECIALIZADA NO RAMO DE ENGENHARIA PARA EXECUÇÃO DOS SERVIÇOS DE IMPLANTAÇÃO DE PAVIMENTAÇÃO, DRENAGEM, ACESSIBILIDADE E SINALIZAÇÃO DAS RUAS BENJAMIN FONSECA - LOTE 1.  JOSÉ MOLITERNO - LOTE 2, SITUADAS NA CIDADE DO RECIFE</v>
      </c>
      <c r="C70" s="90" t="str">
        <f>'4o TRIMESTRE'!C70</f>
        <v>535346/2020</v>
      </c>
      <c r="D70" s="18" t="str">
        <f>'4o TRIMESTRE'!D70</f>
        <v>Emenda Parlamentar Federal</v>
      </c>
      <c r="E70" s="18">
        <f>'4o TRIMESTRE'!E70</f>
        <v>16179037.23</v>
      </c>
      <c r="F70" s="18">
        <f>'4o TRIMESTRE'!F70</f>
        <v>2000</v>
      </c>
      <c r="G70" s="90" t="str">
        <f>'4o TRIMESTRE'!G70</f>
        <v>05.625.079/0001-60</v>
      </c>
      <c r="H70" s="90" t="str">
        <f>'4o TRIMESTRE'!H70</f>
        <v>CONSTRUTORA MARDIFI LTDA - EPP </v>
      </c>
      <c r="I70" s="91" t="str">
        <f>'4o TRIMESTRE'!I70</f>
        <v>6-060/21</v>
      </c>
      <c r="J70" s="92">
        <f>'4o TRIMESTRE'!J70</f>
        <v>44603</v>
      </c>
      <c r="K70" s="91">
        <f>'4o TRIMESTRE'!K70</f>
        <v>150</v>
      </c>
      <c r="L70" s="18">
        <f>'4o TRIMESTRE'!L70</f>
        <v>193107.81</v>
      </c>
      <c r="M70" s="92">
        <f>'4o TRIMESTRE'!M70</f>
        <v>44843</v>
      </c>
      <c r="N70" s="91">
        <f>'4o TRIMESTRE'!N70</f>
        <v>90</v>
      </c>
      <c r="O70" s="18">
        <f>'4o TRIMESTRE'!O70</f>
        <v>0</v>
      </c>
      <c r="P70" s="18">
        <v>0</v>
      </c>
      <c r="Q70" s="91" t="str">
        <f>'4o TRIMESTRE'!Q70</f>
        <v>4.4.90.39</v>
      </c>
      <c r="R70" s="18">
        <f>'4o TRIMESTRE'!R70</f>
        <v>0</v>
      </c>
      <c r="S70" s="18">
        <f>'4o TRIMESTRE'!S70</f>
        <v>0</v>
      </c>
      <c r="T70" s="18">
        <f>'4o TRIMESTRE'!T70</f>
        <v>0</v>
      </c>
      <c r="U70" s="18">
        <f>'4o TRIMESTRE'!U70</f>
        <v>0</v>
      </c>
      <c r="V70" s="108" t="str">
        <f>'4o TRIMESTRE'!V70</f>
        <v>andamento</v>
      </c>
      <c r="W70" s="93">
        <f t="shared" si="0"/>
        <v>0</v>
      </c>
      <c r="X70" s="107" t="str">
        <f t="shared" si="1"/>
        <v>verdadeiro</v>
      </c>
      <c r="Z70" s="38"/>
      <c r="AA70" s="38"/>
      <c r="AB70" s="12"/>
      <c r="AC70" s="93"/>
    </row>
    <row r="71" spans="1:29" ht="20.25" customHeight="1">
      <c r="A71" s="90" t="str">
        <f>'4o TRIMESTRE'!A71</f>
        <v>TOMADA DE PREÇOS Licitação: 007/2021</v>
      </c>
      <c r="B71" s="90" t="str">
        <f>'4o TRIMESTRE'!B71</f>
        <v>CONTRATAÇÃO DE EMPRESA ESPECIALIZADA NO RAMO DE ENGENHARIA PARA EXECUÇÃO DOS SERVIÇOS DE IMPLANTAÇÃO DE PAVIMENTAÇÃO, DRENAGEM, ACESSIBILIDADE E SINALIZAÇÃO DAS RUAS BENJAMIN FONSECA - LOTE 1.  JOSÉ MOLITERNO - LOTE 2, SITUADAS NA CIDADE DO RECIFE</v>
      </c>
      <c r="C71" s="90" t="str">
        <f>'4o TRIMESTRE'!C71</f>
        <v>535346/2020</v>
      </c>
      <c r="D71" s="18" t="str">
        <f>'4o TRIMESTRE'!D71</f>
        <v>Emenda Parlamentar Federal</v>
      </c>
      <c r="E71" s="18">
        <f>'4o TRIMESTRE'!E71</f>
        <v>16179037.23</v>
      </c>
      <c r="F71" s="18">
        <f>'4o TRIMESTRE'!F71</f>
        <v>2000</v>
      </c>
      <c r="G71" s="90" t="str">
        <f>'4o TRIMESTRE'!G71</f>
        <v>05.625.079/0001-60</v>
      </c>
      <c r="H71" s="90" t="str">
        <f>'4o TRIMESTRE'!H71</f>
        <v>CONSTRUTORA MARDIFI LTDA - EPP </v>
      </c>
      <c r="I71" s="91" t="str">
        <f>'4o TRIMESTRE'!I71</f>
        <v>6-061/21</v>
      </c>
      <c r="J71" s="92">
        <f>'4o TRIMESTRE'!J71</f>
        <v>44603</v>
      </c>
      <c r="K71" s="91">
        <f>'4o TRIMESTRE'!K71</f>
        <v>150</v>
      </c>
      <c r="L71" s="18">
        <f>'4o TRIMESTRE'!L71</f>
        <v>119800.38</v>
      </c>
      <c r="M71" s="92">
        <f>'4o TRIMESTRE'!M71</f>
        <v>44933</v>
      </c>
      <c r="N71" s="91">
        <f>'4o TRIMESTRE'!N71</f>
        <v>180</v>
      </c>
      <c r="O71" s="18">
        <f>'4o TRIMESTRE'!O71</f>
        <v>0</v>
      </c>
      <c r="P71" s="18">
        <v>0</v>
      </c>
      <c r="Q71" s="91" t="str">
        <f>'4o TRIMESTRE'!Q71</f>
        <v>4.4.90.39</v>
      </c>
      <c r="R71" s="18">
        <f>'4o TRIMESTRE'!R71</f>
        <v>695022</v>
      </c>
      <c r="S71" s="18">
        <f>'4o TRIMESTRE'!S71</f>
        <v>0</v>
      </c>
      <c r="T71" s="18">
        <f>'4o TRIMESTRE'!T71</f>
        <v>0</v>
      </c>
      <c r="U71" s="18">
        <f>'4o TRIMESTRE'!U71</f>
        <v>0</v>
      </c>
      <c r="V71" s="108" t="str">
        <f>'4o TRIMESTRE'!V71</f>
        <v>encerrado</v>
      </c>
      <c r="W71" s="93">
        <f t="shared" si="0"/>
        <v>695022</v>
      </c>
      <c r="X71" s="107" t="str">
        <f t="shared" si="1"/>
        <v>verdadeiro</v>
      </c>
      <c r="Z71" s="38"/>
      <c r="AC71" s="93"/>
    </row>
    <row r="72" spans="1:29" ht="20.25" customHeight="1">
      <c r="A72" s="90" t="str">
        <f>'4o TRIMESTRE'!A72</f>
        <v>CONCORRÊNCIA Licitação: 016/2021</v>
      </c>
      <c r="B72" s="90" t="str">
        <f>'4o TRIMESTRE'!B72</f>
        <v>SERVIÇOS DE RECUPERAÇÃO ESTRUTURAL DA PONTE RODOVIÁRIA, DENOMINADA ANTIGA PONTE GIRATÓRIA, QUE LIGA O BAIRRO DE SÃO JOSÉ AO BAIRRO DO RECIFE NA CIDADE DO RECIFE - PE</v>
      </c>
      <c r="C72" s="90" t="str">
        <f>'4o TRIMESTRE'!C72</f>
        <v>535346/2020</v>
      </c>
      <c r="D72" s="18">
        <f>'4o TRIMESTRE'!D72</f>
        <v>0</v>
      </c>
      <c r="E72" s="18">
        <f>'4o TRIMESTRE'!E72</f>
        <v>15823300.23</v>
      </c>
      <c r="F72" s="18">
        <f>'4o TRIMESTRE'!F72</f>
        <v>0</v>
      </c>
      <c r="G72" s="90" t="str">
        <f>'4o TRIMESTRE'!G72</f>
        <v>00.507.949/0001-82</v>
      </c>
      <c r="H72" s="90" t="str">
        <f>'4o TRIMESTRE'!H72</f>
        <v>JATOBETON ENGENHARIA LTDA</v>
      </c>
      <c r="I72" s="91" t="str">
        <f>'4o TRIMESTRE'!I72</f>
        <v>6-063/21</v>
      </c>
      <c r="J72" s="92">
        <f>'4o TRIMESTRE'!J72</f>
        <v>44615</v>
      </c>
      <c r="K72" s="91">
        <f>'4o TRIMESTRE'!K72</f>
        <v>645</v>
      </c>
      <c r="L72" s="18">
        <f>'4o TRIMESTRE'!L72</f>
        <v>9469419.63</v>
      </c>
      <c r="M72" s="92">
        <f>'4o TRIMESTRE'!M72</f>
        <v>45260</v>
      </c>
      <c r="N72" s="91">
        <f>'4o TRIMESTRE'!N72</f>
        <v>0</v>
      </c>
      <c r="O72" s="18">
        <f>'4o TRIMESTRE'!O72</f>
        <v>0</v>
      </c>
      <c r="P72" s="18">
        <v>0</v>
      </c>
      <c r="Q72" s="91" t="str">
        <f>'4o TRIMESTRE'!Q72</f>
        <v>4.4.90.39</v>
      </c>
      <c r="R72" s="18">
        <f>'4o TRIMESTRE'!R72</f>
        <v>3388425.87</v>
      </c>
      <c r="S72" s="18">
        <f>'4o TRIMESTRE'!S72</f>
        <v>0</v>
      </c>
      <c r="T72" s="18">
        <f>'4o TRIMESTRE'!T72</f>
        <v>3253714.59</v>
      </c>
      <c r="U72" s="18">
        <f>'4o TRIMESTRE'!U72</f>
        <v>3253714.59</v>
      </c>
      <c r="V72" s="108" t="str">
        <f>'4o TRIMESTRE'!V72</f>
        <v>andamento</v>
      </c>
      <c r="W72" s="93">
        <f t="shared" si="0"/>
        <v>134711.28000000026</v>
      </c>
      <c r="X72" s="107" t="str">
        <f t="shared" si="1"/>
        <v>verdadeiro</v>
      </c>
      <c r="Z72" s="38"/>
      <c r="AC72" s="93"/>
    </row>
    <row r="73" spans="1:29" ht="20.25" customHeight="1">
      <c r="A73" s="90" t="str">
        <f>'4o TRIMESTRE'!A73</f>
        <v>TOMADA DE PREÇOS Licitação: 006/2021</v>
      </c>
      <c r="B73" s="90" t="str">
        <f>'4o TRIMESTRE'!B73</f>
        <v>CONTRATAÇÃO DE EMPRESA DE ENGENHARIA, ESPECIALIZADA EM ILUMINAÇÃO PÚBLICA, PARA INSTALAÇÃO DE LUMINÁRIAS RGB COM TECNOLOGIA LED E REDE ELÉTRICA,  PARA ILUMINAÇÃO CÊNICA DA PRAÇA SOLANGE PINTO</v>
      </c>
      <c r="C73" s="90" t="str">
        <f>'4o TRIMESTRE'!C73</f>
        <v>535346/2020</v>
      </c>
      <c r="D73" s="18">
        <f>'4o TRIMESTRE'!D73</f>
        <v>0</v>
      </c>
      <c r="E73" s="18">
        <f>'4o TRIMESTRE'!E73</f>
        <v>15823300.23</v>
      </c>
      <c r="F73" s="18">
        <f>'4o TRIMESTRE'!F73</f>
        <v>0</v>
      </c>
      <c r="G73" s="90" t="str">
        <f>'4o TRIMESTRE'!G73</f>
        <v>03.834.750/0001-57</v>
      </c>
      <c r="H73" s="90" t="str">
        <f>'4o TRIMESTRE'!H73</f>
        <v>EIP SERVICOS DE ILUMINACAO LTDA</v>
      </c>
      <c r="I73" s="91" t="str">
        <f>'4o TRIMESTRE'!I73</f>
        <v>6-065/21</v>
      </c>
      <c r="J73" s="92">
        <f>'4o TRIMESTRE'!J73</f>
        <v>44559</v>
      </c>
      <c r="K73" s="91">
        <f>'4o TRIMESTRE'!K73</f>
        <v>150</v>
      </c>
      <c r="L73" s="18">
        <f>'4o TRIMESTRE'!L73</f>
        <v>316211.92</v>
      </c>
      <c r="M73" s="92">
        <f>'4o TRIMESTRE'!M73</f>
        <v>44799</v>
      </c>
      <c r="N73" s="91">
        <f>'4o TRIMESTRE'!N73</f>
        <v>90</v>
      </c>
      <c r="O73" s="18">
        <f>'4o TRIMESTRE'!O73</f>
        <v>0</v>
      </c>
      <c r="P73" s="18">
        <v>0</v>
      </c>
      <c r="Q73" s="91" t="str">
        <f>'4o TRIMESTRE'!Q73</f>
        <v>3.3.90.39</v>
      </c>
      <c r="R73" s="18">
        <f>'4o TRIMESTRE'!R73</f>
        <v>307218.04</v>
      </c>
      <c r="S73" s="18">
        <f>'4o TRIMESTRE'!S73</f>
        <v>0</v>
      </c>
      <c r="T73" s="18">
        <f>'4o TRIMESTRE'!T73</f>
        <v>307218.04</v>
      </c>
      <c r="U73" s="18">
        <f>'4o TRIMESTRE'!U73</f>
        <v>307218.04</v>
      </c>
      <c r="V73" s="108" t="str">
        <f>'4o TRIMESTRE'!V73</f>
        <v>encerrado</v>
      </c>
      <c r="W73" s="93">
        <f aca="true" t="shared" si="2" ref="W73:W87">R73-U73</f>
        <v>0</v>
      </c>
      <c r="X73" s="107" t="str">
        <f aca="true" t="shared" si="3" ref="X73:X87">IF(M73&gt;$X$4,"verdadeiro","Falso")</f>
        <v>verdadeiro</v>
      </c>
      <c r="Z73" s="38"/>
      <c r="AC73" s="93"/>
    </row>
    <row r="74" spans="1:29" ht="20.25" customHeight="1">
      <c r="A74" s="90" t="str">
        <f>'4o TRIMESTRE'!A74</f>
        <v>TOMADA DE PREÇOS Licitação: 005/2021</v>
      </c>
      <c r="B74" s="90" t="str">
        <f>'4o TRIMESTRE'!B74</f>
        <v>CONTRATAÇÃO DE EMPRESA DE ENGENHARIA, ESPECIALIZADA EM ILUMINAÇÃO PÚBLICA, PARA INSTALAÇÃO DE LUMINÁRIAS RGB COM TECNOLOGIA LED E REDE ELÉTRICA, PARA ILUMINAÇÃO CÊNICA DA PONTE DA BOA VISTA, NO BAIRRO DA BOA VISTA</v>
      </c>
      <c r="C74" s="90" t="str">
        <f>'4o TRIMESTRE'!C74</f>
        <v>535346/2020</v>
      </c>
      <c r="D74" s="18" t="str">
        <f>'4o TRIMESTRE'!D74</f>
        <v>FINISA</v>
      </c>
      <c r="E74" s="18">
        <f>'4o TRIMESTRE'!E74</f>
        <v>65823300.230000004</v>
      </c>
      <c r="F74" s="18">
        <f>'4o TRIMESTRE'!F74</f>
        <v>0</v>
      </c>
      <c r="G74" s="90" t="str">
        <f>'4o TRIMESTRE'!G74</f>
        <v>32.185.141/0001-12</v>
      </c>
      <c r="H74" s="90" t="str">
        <f>'4o TRIMESTRE'!H74</f>
        <v>CASTRO &amp; ROCHA LTDA</v>
      </c>
      <c r="I74" s="91" t="str">
        <f>'4o TRIMESTRE'!I74</f>
        <v>6-066/21</v>
      </c>
      <c r="J74" s="92">
        <f>'4o TRIMESTRE'!J74</f>
        <v>44559</v>
      </c>
      <c r="K74" s="91">
        <f>'4o TRIMESTRE'!K74</f>
        <v>90</v>
      </c>
      <c r="L74" s="18">
        <f>'4o TRIMESTRE'!L74</f>
        <v>279121.41</v>
      </c>
      <c r="M74" s="92">
        <f>'4o TRIMESTRE'!M74</f>
        <v>44802</v>
      </c>
      <c r="N74" s="91">
        <f>'4o TRIMESTRE'!N74</f>
        <v>153</v>
      </c>
      <c r="O74" s="18">
        <f>'4o TRIMESTRE'!O74</f>
        <v>29693.92</v>
      </c>
      <c r="P74" s="18">
        <v>0</v>
      </c>
      <c r="Q74" s="91" t="str">
        <f>'4o TRIMESTRE'!Q74</f>
        <v>4.4.90.39</v>
      </c>
      <c r="R74" s="18">
        <f>'4o TRIMESTRE'!R74</f>
        <v>302263.89</v>
      </c>
      <c r="S74" s="18">
        <f>'4o TRIMESTRE'!S74</f>
        <v>0</v>
      </c>
      <c r="T74" s="18">
        <f>'4o TRIMESTRE'!T74</f>
        <v>302263.89</v>
      </c>
      <c r="U74" s="18">
        <f>'4o TRIMESTRE'!U74</f>
        <v>302263.89</v>
      </c>
      <c r="V74" s="108" t="str">
        <f>'4o TRIMESTRE'!V74</f>
        <v>andamento</v>
      </c>
      <c r="W74" s="93">
        <f t="shared" si="2"/>
        <v>0</v>
      </c>
      <c r="X74" s="107" t="str">
        <f t="shared" si="3"/>
        <v>verdadeiro</v>
      </c>
      <c r="Z74" s="38"/>
      <c r="AC74" s="93"/>
    </row>
    <row r="75" spans="1:29" ht="20.25" customHeight="1">
      <c r="A75" s="90" t="str">
        <f>'4o TRIMESTRE'!A75</f>
        <v>CONCORRÊNCIA / nº 014/2021</v>
      </c>
      <c r="B75" s="90" t="str">
        <f>'4o TRIMESTRE'!B75</f>
        <v>CONTRATAÇÃO DE EMPRESA DE ENGENHARIA, ESPECIALIZADA EM ILUMINAÇÃO PÚBLICA, PARA FORNECIMENTO E INSTALAÇÃO DE LUMINÁRIAS COM TECNOLOGIA LED RGB E REDE ELÉTRICA, PARA ILUMINAÇÃO CÊNICA DO PARQUE DONA LINDU, BOA VIAGEM</v>
      </c>
      <c r="C75" s="90" t="str">
        <f>'4o TRIMESTRE'!C75</f>
        <v>535346/2020</v>
      </c>
      <c r="D75" s="18" t="str">
        <f>'4o TRIMESTRE'!D75</f>
        <v>FINISA</v>
      </c>
      <c r="E75" s="18">
        <f>'4o TRIMESTRE'!E75</f>
        <v>65823300.230000004</v>
      </c>
      <c r="F75" s="18">
        <f>'4o TRIMESTRE'!F75</f>
        <v>0</v>
      </c>
      <c r="G75" s="90" t="str">
        <f>'4o TRIMESTRE'!G75</f>
        <v>03.834.750/0001-57</v>
      </c>
      <c r="H75" s="90" t="str">
        <f>'4o TRIMESTRE'!H75</f>
        <v>EIP SERVICOS DE ILUMINACAO LTDA</v>
      </c>
      <c r="I75" s="91" t="str">
        <f>'4o TRIMESTRE'!I75</f>
        <v>6-001/22</v>
      </c>
      <c r="J75" s="92">
        <f>'4o TRIMESTRE'!J75</f>
        <v>44599</v>
      </c>
      <c r="K75" s="91">
        <f>'4o TRIMESTRE'!K75</f>
        <v>150</v>
      </c>
      <c r="L75" s="18">
        <f>'4o TRIMESTRE'!L75</f>
        <v>2245061.82</v>
      </c>
      <c r="M75" s="92">
        <f>'4o TRIMESTRE'!M75</f>
        <v>44899</v>
      </c>
      <c r="N75" s="91">
        <f>'4o TRIMESTRE'!N75</f>
        <v>150</v>
      </c>
      <c r="O75" s="18">
        <f>'4o TRIMESTRE'!O75</f>
        <v>0</v>
      </c>
      <c r="P75" s="18">
        <v>0</v>
      </c>
      <c r="Q75" s="91" t="str">
        <f>'4o TRIMESTRE'!Q75</f>
        <v>4.4.90.39</v>
      </c>
      <c r="R75" s="18">
        <f>'4o TRIMESTRE'!R75</f>
        <v>2216701.46</v>
      </c>
      <c r="S75" s="18">
        <f>'4o TRIMESTRE'!S75</f>
        <v>0</v>
      </c>
      <c r="T75" s="18">
        <f>'4o TRIMESTRE'!T75</f>
        <v>1815857.81</v>
      </c>
      <c r="U75" s="18">
        <f>'4o TRIMESTRE'!U75</f>
        <v>1815857.81</v>
      </c>
      <c r="V75" s="108" t="str">
        <f>'4o TRIMESTRE'!V75</f>
        <v>andamento</v>
      </c>
      <c r="W75" s="93">
        <f t="shared" si="2"/>
        <v>400843.6499999999</v>
      </c>
      <c r="X75" s="107" t="str">
        <f t="shared" si="3"/>
        <v>verdadeiro</v>
      </c>
      <c r="Y75" s="38"/>
      <c r="Z75" s="38"/>
      <c r="AC75" s="93"/>
    </row>
    <row r="76" spans="1:29" ht="20.25" customHeight="1">
      <c r="A76" s="90" t="str">
        <f>'4o TRIMESTRE'!A76</f>
        <v>CONCORRÊNCIA / nº 012/2021</v>
      </c>
      <c r="B76" s="90" t="str">
        <f>'4o TRIMESTRE'!B76</f>
        <v>CONTRATAÇÃO DE EMPRESA DE ENGENHARIA, ESPECIALIZADA EM ILUMINAÇÃO PÚBLICA, PARA SERVIÇOS DE APOIO TÉCNICO PARA CIDADE DO RECIFE.</v>
      </c>
      <c r="C76" s="90" t="str">
        <f>'4o TRIMESTRE'!C76</f>
        <v>535346/2020</v>
      </c>
      <c r="D76" s="18">
        <f>'4o TRIMESTRE'!D76</f>
        <v>0</v>
      </c>
      <c r="E76" s="18">
        <f>'4o TRIMESTRE'!E76</f>
        <v>15823300.23</v>
      </c>
      <c r="F76" s="18">
        <f>'4o TRIMESTRE'!F76</f>
        <v>0</v>
      </c>
      <c r="G76" s="90" t="str">
        <f>'4o TRIMESTRE'!G76</f>
        <v>03.834.750/0001-57</v>
      </c>
      <c r="H76" s="90" t="str">
        <f>'4o TRIMESTRE'!H76</f>
        <v>EIP SERVICOS DE ILUMINACAO LTDA</v>
      </c>
      <c r="I76" s="91" t="str">
        <f>'4o TRIMESTRE'!I76</f>
        <v>6-002/22</v>
      </c>
      <c r="J76" s="92">
        <f>'4o TRIMESTRE'!J76</f>
        <v>44589</v>
      </c>
      <c r="K76" s="91">
        <f>'4o TRIMESTRE'!K76</f>
        <v>760</v>
      </c>
      <c r="L76" s="18">
        <f>'4o TRIMESTRE'!L76</f>
        <v>1418802</v>
      </c>
      <c r="M76" s="92">
        <f>'4o TRIMESTRE'!M76</f>
        <v>45349</v>
      </c>
      <c r="N76" s="91">
        <f>'4o TRIMESTRE'!N76</f>
        <v>0</v>
      </c>
      <c r="O76" s="18">
        <f>'4o TRIMESTRE'!O76</f>
        <v>130967.16</v>
      </c>
      <c r="P76" s="18">
        <v>0</v>
      </c>
      <c r="Q76" s="91" t="str">
        <f>'4o TRIMESTRE'!Q76</f>
        <v>3.3.90.39</v>
      </c>
      <c r="R76" s="18">
        <f>'4o TRIMESTRE'!R76</f>
        <v>547826.9</v>
      </c>
      <c r="S76" s="18">
        <f>'4o TRIMESTRE'!S76</f>
        <v>0</v>
      </c>
      <c r="T76" s="18">
        <f>'4o TRIMESTRE'!T76</f>
        <v>547826.9</v>
      </c>
      <c r="U76" s="18">
        <f>'4o TRIMESTRE'!U76</f>
        <v>547826.9</v>
      </c>
      <c r="V76" s="108" t="str">
        <f>'4o TRIMESTRE'!V76</f>
        <v>andamento</v>
      </c>
      <c r="W76" s="93">
        <f t="shared" si="2"/>
        <v>0</v>
      </c>
      <c r="X76" s="107" t="str">
        <f t="shared" si="3"/>
        <v>verdadeiro</v>
      </c>
      <c r="Z76" s="38"/>
      <c r="AC76" s="93"/>
    </row>
    <row r="77" spans="1:29" ht="20.25" customHeight="1">
      <c r="A77" s="90" t="str">
        <f>'4o TRIMESTRE'!A77</f>
        <v>CONCORRÊNCIA / nº 008/2021</v>
      </c>
      <c r="B77" s="90" t="str">
        <f>'4o TRIMESTRE'!B77</f>
        <v>CONTRATAÇÃO DE EMPRESA DE ENGENHARIA, ESPECIALIZADA EM ILUMINAÇÃO PÚBLICA, PARA EXECUÇÃO DA MANUTENÇÃO, PREVENTIVA E CORRETIVA, DO SISTEMA DE ILUMINAÇÃO CÊNICA DA CIDADE DO RECIFE</v>
      </c>
      <c r="C77" s="90">
        <f>'4o TRIMESTRE'!C77</f>
        <v>0</v>
      </c>
      <c r="D77" s="18" t="str">
        <f>'4o TRIMESTRE'!D77</f>
        <v>FINISA</v>
      </c>
      <c r="E77" s="18">
        <f>'4o TRIMESTRE'!E77</f>
        <v>50000000</v>
      </c>
      <c r="F77" s="18">
        <f>'4o TRIMESTRE'!F77</f>
        <v>0</v>
      </c>
      <c r="G77" s="90" t="str">
        <f>'4o TRIMESTRE'!G77</f>
        <v>03.834.750/0001-57</v>
      </c>
      <c r="H77" s="90" t="str">
        <f>'4o TRIMESTRE'!H77</f>
        <v>EIP SERVICOS DE ILUMINACAO LTDA</v>
      </c>
      <c r="I77" s="91" t="str">
        <f>'4o TRIMESTRE'!I77</f>
        <v>6-003/22</v>
      </c>
      <c r="J77" s="92">
        <f>'4o TRIMESTRE'!J77</f>
        <v>44589</v>
      </c>
      <c r="K77" s="91">
        <f>'4o TRIMESTRE'!K77</f>
        <v>760</v>
      </c>
      <c r="L77" s="18">
        <f>'4o TRIMESTRE'!L77</f>
        <v>3730846.67</v>
      </c>
      <c r="M77" s="92">
        <f>'4o TRIMESTRE'!M77</f>
        <v>45349</v>
      </c>
      <c r="N77" s="91">
        <f>'4o TRIMESTRE'!N77</f>
        <v>0</v>
      </c>
      <c r="O77" s="18">
        <f>'4o TRIMESTRE'!O77</f>
        <v>833606.23</v>
      </c>
      <c r="P77" s="18">
        <v>0</v>
      </c>
      <c r="Q77" s="91" t="str">
        <f>'4o TRIMESTRE'!Q77</f>
        <v>4.4.90.39</v>
      </c>
      <c r="R77" s="18">
        <f>'4o TRIMESTRE'!R77</f>
        <v>1505109.78</v>
      </c>
      <c r="S77" s="18">
        <f>'4o TRIMESTRE'!S77</f>
        <v>0</v>
      </c>
      <c r="T77" s="18">
        <f>'4o TRIMESTRE'!T77</f>
        <v>1364915.98</v>
      </c>
      <c r="U77" s="18">
        <f>'4o TRIMESTRE'!U77</f>
        <v>1364915.98</v>
      </c>
      <c r="V77" s="108" t="str">
        <f>'4o TRIMESTRE'!V77</f>
        <v>andamento</v>
      </c>
      <c r="W77" s="93">
        <f t="shared" si="2"/>
        <v>140193.80000000005</v>
      </c>
      <c r="X77" s="107" t="str">
        <f t="shared" si="3"/>
        <v>verdadeiro</v>
      </c>
      <c r="Z77" s="38"/>
      <c r="AC77" s="93"/>
    </row>
    <row r="78" spans="1:29" ht="20.25" customHeight="1">
      <c r="A78" s="90" t="str">
        <f>'4o TRIMESTRE'!A78</f>
        <v>Pregão Eletrônico Licitação: 037/2021</v>
      </c>
      <c r="B78" s="90" t="str">
        <f>'4o TRIMESTRE'!B78</f>
        <v>SERVIÇOS DE INFRAESTURURA PARA IMPLANTAÇÃO DO MEMORIAL JUDAICO EM HONRA AO POVO JUDEU, NA PRAÇA TIRADENTES BAIRRO DO RECIFE, RECIFE - PE</v>
      </c>
      <c r="C78" s="90">
        <f>'4o TRIMESTRE'!C78</f>
        <v>0</v>
      </c>
      <c r="D78" s="18">
        <f>'4o TRIMESTRE'!D78</f>
        <v>0</v>
      </c>
      <c r="E78" s="18">
        <f>'4o TRIMESTRE'!E78</f>
        <v>0</v>
      </c>
      <c r="F78" s="18">
        <f>'4o TRIMESTRE'!F78</f>
        <v>0</v>
      </c>
      <c r="G78" s="90" t="str">
        <f>'4o TRIMESTRE'!G78</f>
        <v>22.257.930/0001-68</v>
      </c>
      <c r="H78" s="90" t="str">
        <f>'4o TRIMESTRE'!H78</f>
        <v>G O DOS SANTOS CONSTRUCOES EIRELI</v>
      </c>
      <c r="I78" s="91" t="str">
        <f>'4o TRIMESTRE'!I78</f>
        <v>6-004/22</v>
      </c>
      <c r="J78" s="92">
        <f>'4o TRIMESTRE'!J78</f>
        <v>44602</v>
      </c>
      <c r="K78" s="91">
        <f>'4o TRIMESTRE'!K78</f>
        <v>165</v>
      </c>
      <c r="L78" s="18">
        <f>'4o TRIMESTRE'!L78</f>
        <v>119999.98</v>
      </c>
      <c r="M78" s="92">
        <f>'4o TRIMESTRE'!M78</f>
        <v>44812</v>
      </c>
      <c r="N78" s="91">
        <f>'4o TRIMESTRE'!N78</f>
        <v>45</v>
      </c>
      <c r="O78" s="18">
        <f>'4o TRIMESTRE'!O78</f>
        <v>0</v>
      </c>
      <c r="P78" s="18">
        <v>0</v>
      </c>
      <c r="Q78" s="91" t="str">
        <f>'4o TRIMESTRE'!Q78</f>
        <v>4.4.90.39</v>
      </c>
      <c r="R78" s="18">
        <f>'4o TRIMESTRE'!R78</f>
        <v>315157.76</v>
      </c>
      <c r="S78" s="18">
        <f>'4o TRIMESTRE'!S78</f>
        <v>0</v>
      </c>
      <c r="T78" s="18">
        <f>'4o TRIMESTRE'!T78</f>
        <v>86787.36</v>
      </c>
      <c r="U78" s="18">
        <f>'4o TRIMESTRE'!U78</f>
        <v>86787.36</v>
      </c>
      <c r="V78" s="108" t="str">
        <f>'4o TRIMESTRE'!V78</f>
        <v>encerrado</v>
      </c>
      <c r="W78" s="93">
        <f t="shared" si="2"/>
        <v>228370.40000000002</v>
      </c>
      <c r="X78" s="107" t="str">
        <f t="shared" si="3"/>
        <v>verdadeiro</v>
      </c>
      <c r="Z78" s="38"/>
      <c r="AC78" s="93"/>
    </row>
    <row r="79" spans="1:29" ht="20.25" customHeight="1">
      <c r="A79" s="90" t="str">
        <f>'4o TRIMESTRE'!A79</f>
        <v>Tomada de Preço Licitação: 009/2021</v>
      </c>
      <c r="B79" s="90" t="str">
        <f>'4o TRIMESTRE'!B79</f>
        <v>SERVIÇOS DE REFORMA DE DIVERSOS PRÉDIOS PÚBLICOS MANTIDOS PELA EMLURB: LOTE 01 DLU E GOFIS DA RPA 01 E RPA 06, LOTE 02 DIVERSOS BANHEIROS PÚBLICOS, SEDE DA EMLURB E LABORATÓRIO. LOCALIZADOS EM DIVERSOS BAIRROS DA CIDADE DO RECIFE PE</v>
      </c>
      <c r="C79" s="90">
        <f>'4o TRIMESTRE'!C79</f>
        <v>0</v>
      </c>
      <c r="D79" s="18">
        <f>'4o TRIMESTRE'!D79</f>
        <v>0</v>
      </c>
      <c r="E79" s="18">
        <f>'4o TRIMESTRE'!E79</f>
        <v>0</v>
      </c>
      <c r="F79" s="18">
        <f>'4o TRIMESTRE'!F79</f>
        <v>0</v>
      </c>
      <c r="G79" s="90" t="str">
        <f>'4o TRIMESTRE'!G79</f>
        <v>30.700.985/0001-29</v>
      </c>
      <c r="H79" s="90" t="str">
        <f>'4o TRIMESTRE'!H79</f>
        <v>CONSTRUTORA MANASSU LTDA</v>
      </c>
      <c r="I79" s="91" t="str">
        <f>'4o TRIMESTRE'!I79</f>
        <v>6-005/22</v>
      </c>
      <c r="J79" s="92">
        <f>'4o TRIMESTRE'!J79</f>
        <v>44606</v>
      </c>
      <c r="K79" s="91">
        <f>'4o TRIMESTRE'!K79</f>
        <v>270</v>
      </c>
      <c r="L79" s="18">
        <f>'4o TRIMESTRE'!L79</f>
        <v>493303.08</v>
      </c>
      <c r="M79" s="92">
        <f>'4o TRIMESTRE'!M79</f>
        <v>44876</v>
      </c>
      <c r="N79" s="91">
        <f>'4o TRIMESTRE'!N79</f>
        <v>0</v>
      </c>
      <c r="O79" s="18">
        <f>'4o TRIMESTRE'!O79</f>
        <v>0</v>
      </c>
      <c r="P79" s="18">
        <v>42323.58</v>
      </c>
      <c r="Q79" s="91" t="str">
        <f>'4o TRIMESTRE'!Q79</f>
        <v>4.4.90.39</v>
      </c>
      <c r="R79" s="18">
        <f>'4o TRIMESTRE'!R79</f>
        <v>286070.39</v>
      </c>
      <c r="S79" s="18">
        <f>'4o TRIMESTRE'!S79</f>
        <v>0</v>
      </c>
      <c r="T79" s="18">
        <f>'4o TRIMESTRE'!T79</f>
        <v>250562.93</v>
      </c>
      <c r="U79" s="18">
        <f>'4o TRIMESTRE'!U79</f>
        <v>250562.93</v>
      </c>
      <c r="V79" s="108" t="str">
        <f>'4o TRIMESTRE'!V79</f>
        <v>andamento</v>
      </c>
      <c r="W79" s="93">
        <f t="shared" si="2"/>
        <v>35507.46000000002</v>
      </c>
      <c r="X79" s="107" t="str">
        <f t="shared" si="3"/>
        <v>verdadeiro</v>
      </c>
      <c r="Z79" s="38"/>
      <c r="AC79" s="93"/>
    </row>
    <row r="80" spans="1:29" ht="20.25" customHeight="1">
      <c r="A80" s="90" t="str">
        <f>'4o TRIMESTRE'!A80</f>
        <v>CREDENCIAMENTO Licitação: 001/2021</v>
      </c>
      <c r="B80" s="90" t="str">
        <f>'4o TRIMESTRE'!B80</f>
        <v>CREDENCIAMENTO DE EMPRESA ESPECIALIZADA EM ENGENHARIA SANITÁRIA PARA RECOLHIMENTO, TRATAMENTO E DISPOSIÇÃO FINAL AMBIENTALMENTE CORRETO DE LÍQUIDOS ORIUNDOS DO ATERRO DESATIVADO DA MURIBECA SOB RESPONSABILIDADE DA EMLURB</v>
      </c>
      <c r="C80" s="90" t="str">
        <f>'4o TRIMESTRE'!C80</f>
        <v>535346/2020</v>
      </c>
      <c r="D80" s="18">
        <f>'4o TRIMESTRE'!D80</f>
        <v>0</v>
      </c>
      <c r="E80" s="18">
        <f>'4o TRIMESTRE'!E80</f>
        <v>15823300.23</v>
      </c>
      <c r="F80" s="18">
        <f>'4o TRIMESTRE'!F80</f>
        <v>0</v>
      </c>
      <c r="G80" s="90" t="str">
        <f>'4o TRIMESTRE'!G80</f>
        <v>08.165.091/0002-08</v>
      </c>
      <c r="H80" s="90" t="str">
        <f>'4o TRIMESTRE'!H80</f>
        <v>ECOPESA AMBIENTAL S/A                   </v>
      </c>
      <c r="I80" s="91" t="str">
        <f>'4o TRIMESTRE'!I80</f>
        <v>6-006/22</v>
      </c>
      <c r="J80" s="92">
        <f>'4o TRIMESTRE'!J80</f>
        <v>44606</v>
      </c>
      <c r="K80" s="91">
        <f>'4o TRIMESTRE'!K80</f>
        <v>395</v>
      </c>
      <c r="L80" s="18">
        <f>'4o TRIMESTRE'!L80</f>
        <v>1392960</v>
      </c>
      <c r="M80" s="92">
        <f>'4o TRIMESTRE'!M80</f>
        <v>45001</v>
      </c>
      <c r="N80" s="91">
        <f>'4o TRIMESTRE'!N80</f>
        <v>0</v>
      </c>
      <c r="O80" s="18">
        <f>'4o TRIMESTRE'!O80</f>
        <v>348240</v>
      </c>
      <c r="P80" s="18">
        <v>0</v>
      </c>
      <c r="Q80" s="91" t="str">
        <f>'4o TRIMESTRE'!Q80</f>
        <v>3.3.90.39</v>
      </c>
      <c r="R80" s="18">
        <f>'4o TRIMESTRE'!R80</f>
        <v>1972269.47</v>
      </c>
      <c r="S80" s="18">
        <f>'4o TRIMESTRE'!S80</f>
        <v>0</v>
      </c>
      <c r="T80" s="18">
        <f>'4o TRIMESTRE'!T80</f>
        <v>775008.1200000001</v>
      </c>
      <c r="U80" s="18">
        <f>'4o TRIMESTRE'!U80</f>
        <v>775008.1200000001</v>
      </c>
      <c r="V80" s="108" t="s">
        <v>188</v>
      </c>
      <c r="W80" s="93">
        <f t="shared" si="2"/>
        <v>1197261.3499999999</v>
      </c>
      <c r="X80" s="107" t="str">
        <f t="shared" si="3"/>
        <v>verdadeiro</v>
      </c>
      <c r="Z80" s="38"/>
      <c r="AB80" s="38"/>
      <c r="AC80" s="93"/>
    </row>
    <row r="81" spans="1:29" ht="20.25" customHeight="1">
      <c r="A81" s="90" t="str">
        <f>'4o TRIMESTRE'!A81</f>
        <v>Tomada de Preço Licitação: 011/2021</v>
      </c>
      <c r="B81" s="90" t="str">
        <f>'4o TRIMESTRE'!B81</f>
        <v>CONTRATAÇÃO DE EMPRESA DE ENGENHARIA, ESPECIALIZADA EM ILUMINAÇÃO PÚBLICA, PARA FORNECIMENTO DE LUMINÁRIAS COM TECNOLOGIA LED RGB E REDE ELÉTRICA, PARA ILUMINAÇÃO CÊNICA DA PASSARELA JOANA BEZERRA.</v>
      </c>
      <c r="C81" s="90" t="str">
        <f>'4o TRIMESTRE'!C81</f>
        <v>535346/2020</v>
      </c>
      <c r="D81" s="18" t="str">
        <f>'4o TRIMESTRE'!D81</f>
        <v>FINISA</v>
      </c>
      <c r="E81" s="18">
        <f>'4o TRIMESTRE'!E81</f>
        <v>65823300.230000004</v>
      </c>
      <c r="F81" s="18">
        <f>'4o TRIMESTRE'!F81</f>
        <v>0</v>
      </c>
      <c r="G81" s="90" t="str">
        <f>'4o TRIMESTRE'!G81</f>
        <v>01.346.561/0001-00</v>
      </c>
      <c r="H81" s="90" t="str">
        <f>'4o TRIMESTRE'!H81</f>
        <v>VASCONCELOS E SANTOS LTDA</v>
      </c>
      <c r="I81" s="91" t="str">
        <f>'4o TRIMESTRE'!I81</f>
        <v>6-007/22</v>
      </c>
      <c r="J81" s="92">
        <f>'4o TRIMESTRE'!J81</f>
        <v>44610</v>
      </c>
      <c r="K81" s="91">
        <f>'4o TRIMESTRE'!K81</f>
        <v>150</v>
      </c>
      <c r="L81" s="18">
        <f>'4o TRIMESTRE'!L81</f>
        <v>811940.61</v>
      </c>
      <c r="M81" s="92">
        <f>'4o TRIMESTRE'!M81</f>
        <v>44956</v>
      </c>
      <c r="N81" s="91">
        <f>'4o TRIMESTRE'!N81</f>
        <v>196</v>
      </c>
      <c r="O81" s="18">
        <f>'4o TRIMESTRE'!O81</f>
        <v>50879.67</v>
      </c>
      <c r="P81" s="18">
        <v>0</v>
      </c>
      <c r="Q81" s="91" t="str">
        <f>'4o TRIMESTRE'!Q81</f>
        <v>4.4.90.39</v>
      </c>
      <c r="R81" s="18">
        <f>'4o TRIMESTRE'!R81</f>
        <v>260266.71000000002</v>
      </c>
      <c r="S81" s="18">
        <f>'4o TRIMESTRE'!S81</f>
        <v>0</v>
      </c>
      <c r="T81" s="18">
        <f>'4o TRIMESTRE'!T81</f>
        <v>0</v>
      </c>
      <c r="U81" s="18">
        <f>'4o TRIMESTRE'!U81</f>
        <v>0</v>
      </c>
      <c r="V81" s="108" t="str">
        <f>'4o TRIMESTRE'!V81</f>
        <v>encerrado</v>
      </c>
      <c r="W81" s="93">
        <f t="shared" si="2"/>
        <v>260266.71000000002</v>
      </c>
      <c r="X81" s="107" t="str">
        <f t="shared" si="3"/>
        <v>verdadeiro</v>
      </c>
      <c r="Z81" s="38"/>
      <c r="AB81" s="38"/>
      <c r="AC81" s="93"/>
    </row>
    <row r="82" spans="1:29" ht="20.25" customHeight="1">
      <c r="A82" s="90" t="str">
        <f>'4o TRIMESTRE'!A82</f>
        <v>CONCORRÊNCIA / nº 017/2021</v>
      </c>
      <c r="B82" s="90" t="str">
        <f>'4o TRIMESTRE'!B82</f>
        <v>IMPLANTAÇÃO DE TRECHO DE DRENAGEM DA RUA VINTE E UM DE ABRIL COM A RUA LÍDIA GUIMARÃES, EM AFOGADOS RECIE-PE</v>
      </c>
      <c r="C82" s="90">
        <f>'4o TRIMESTRE'!C82</f>
        <v>0</v>
      </c>
      <c r="D82" s="18">
        <f>'4o TRIMESTRE'!D82</f>
        <v>0</v>
      </c>
      <c r="E82" s="18">
        <f>'4o TRIMESTRE'!E82</f>
        <v>0</v>
      </c>
      <c r="F82" s="18">
        <f>'4o TRIMESTRE'!F82</f>
        <v>0</v>
      </c>
      <c r="G82" s="90" t="str">
        <f>'4o TRIMESTRE'!G82</f>
        <v>10.893.105/0001-70</v>
      </c>
      <c r="H82" s="90" t="str">
        <f>'4o TRIMESTRE'!H82</f>
        <v>AGILIS CONSTRUTORA LTDA</v>
      </c>
      <c r="I82" s="91" t="str">
        <f>'4o TRIMESTRE'!I82</f>
        <v>6-008/22</v>
      </c>
      <c r="J82" s="92">
        <f>'4o TRIMESTRE'!J82</f>
        <v>44615</v>
      </c>
      <c r="K82" s="91">
        <f>'4o TRIMESTRE'!K82</f>
        <v>180</v>
      </c>
      <c r="L82" s="18">
        <f>'4o TRIMESTRE'!L82</f>
        <v>477968.09</v>
      </c>
      <c r="M82" s="92">
        <f>'4o TRIMESTRE'!M82</f>
        <v>44795</v>
      </c>
      <c r="N82" s="91">
        <f>'4o TRIMESTRE'!N82</f>
        <v>0</v>
      </c>
      <c r="O82" s="18">
        <f>'4o TRIMESTRE'!O82</f>
        <v>54720.49</v>
      </c>
      <c r="P82" s="18">
        <v>3759599.49</v>
      </c>
      <c r="Q82" s="91" t="str">
        <f>'4o TRIMESTRE'!Q82</f>
        <v>4.4.90.39</v>
      </c>
      <c r="R82" s="18">
        <f>'4o TRIMESTRE'!R82</f>
        <v>2334475.8200000003</v>
      </c>
      <c r="S82" s="18">
        <f>'4o TRIMESTRE'!S82</f>
        <v>0</v>
      </c>
      <c r="T82" s="18">
        <f>'4o TRIMESTRE'!T82</f>
        <v>497738.57000000007</v>
      </c>
      <c r="U82" s="18">
        <f>'4o TRIMESTRE'!U82</f>
        <v>497738.57000000007</v>
      </c>
      <c r="V82" s="108" t="str">
        <f>'4o TRIMESTRE'!V82</f>
        <v>encerrado</v>
      </c>
      <c r="W82" s="93">
        <f t="shared" si="2"/>
        <v>1836737.2500000002</v>
      </c>
      <c r="X82" s="107" t="str">
        <f t="shared" si="3"/>
        <v>verdadeiro</v>
      </c>
      <c r="Z82" s="38"/>
      <c r="AA82" s="41"/>
      <c r="AC82" s="93"/>
    </row>
    <row r="83" spans="1:29" ht="20.25" customHeight="1">
      <c r="A83" s="90" t="str">
        <f>'4o TRIMESTRE'!A83</f>
        <v>CONCORRÊNCIA / nº 018/2021</v>
      </c>
      <c r="B83" s="90" t="str">
        <f>'4o TRIMESTRE'!B83</f>
        <v>SERVIÇOS DE REQUALIFICAÇÃO DE PAVIMENTAÇÃO, DRENAGEM, ACESSIBILIDADE E SINALIZAÇÃO DA RUA CARLOS PEREIRA FALÇÃO TRECHO ENTRE AS RUAS VISCONDE DE JEQUITINHONHA E TENENTE DOMINGOS DE BRITO LOCALIZADA NO BAIRRO DE BOA VIAGEM NA CIDADE DO RECIFE - PE</v>
      </c>
      <c r="C83" s="90">
        <f>'4o TRIMESTRE'!C83</f>
        <v>0</v>
      </c>
      <c r="D83" s="18" t="str">
        <f>'4o TRIMESTRE'!D83</f>
        <v>Emenda Parlamentar Federal</v>
      </c>
      <c r="E83" s="18">
        <f>'4o TRIMESTRE'!E83</f>
        <v>767341</v>
      </c>
      <c r="F83" s="18">
        <f>'4o TRIMESTRE'!F83</f>
        <v>8000</v>
      </c>
      <c r="G83" s="90" t="str">
        <f>'4o TRIMESTRE'!G83</f>
        <v>10.893.105/0001-70</v>
      </c>
      <c r="H83" s="90" t="str">
        <f>'4o TRIMESTRE'!H83</f>
        <v>AGILIS CONSTRUTORA LTDA</v>
      </c>
      <c r="I83" s="91" t="str">
        <f>'4o TRIMESTRE'!I83</f>
        <v>6-009/22</v>
      </c>
      <c r="J83" s="92">
        <f>'4o TRIMESTRE'!J83</f>
        <v>44630</v>
      </c>
      <c r="K83" s="91">
        <f>'4o TRIMESTRE'!K83</f>
        <v>180</v>
      </c>
      <c r="L83" s="18">
        <f>'4o TRIMESTRE'!L83</f>
        <v>730428.03</v>
      </c>
      <c r="M83" s="92">
        <f>'4o TRIMESTRE'!M83</f>
        <v>44870</v>
      </c>
      <c r="N83" s="91">
        <f>'4o TRIMESTRE'!N83</f>
        <v>60</v>
      </c>
      <c r="O83" s="18">
        <f>'4o TRIMESTRE'!O83</f>
        <v>0</v>
      </c>
      <c r="P83" s="18">
        <v>-131739.4</v>
      </c>
      <c r="Q83" s="91" t="str">
        <f>'4o TRIMESTRE'!Q83</f>
        <v>4.4.90.39</v>
      </c>
      <c r="R83" s="18">
        <f>'4o TRIMESTRE'!R83</f>
        <v>0</v>
      </c>
      <c r="S83" s="18">
        <f>'4o TRIMESTRE'!S83</f>
        <v>0</v>
      </c>
      <c r="T83" s="18">
        <f>'4o TRIMESTRE'!T83</f>
        <v>0</v>
      </c>
      <c r="U83" s="18">
        <f>'4o TRIMESTRE'!U83</f>
        <v>0</v>
      </c>
      <c r="V83" s="108" t="str">
        <f>'4o TRIMESTRE'!V83</f>
        <v>andamento</v>
      </c>
      <c r="W83" s="93">
        <f t="shared" si="2"/>
        <v>0</v>
      </c>
      <c r="X83" s="107" t="str">
        <f t="shared" si="3"/>
        <v>verdadeiro</v>
      </c>
      <c r="Z83" s="38"/>
      <c r="AC83" s="93"/>
    </row>
    <row r="84" spans="1:29" ht="20.25" customHeight="1">
      <c r="A84" s="90" t="str">
        <f>'4o TRIMESTRE'!A84</f>
        <v>Pregão Eletrônico Licitação: 002/2022</v>
      </c>
      <c r="B84" s="90" t="str">
        <f>'4o TRIMESTRE'!B84</f>
        <v>CONTRATAÇÃO DE PESSOA S JURÍDICA S ESPECIALIZADA EM ENGENHARIA SANITÁRIA PARA RECEBIMENTO, TRATAMENTO E DISPOSIÇÃO FINAL DE RESÍDUOS DE CONSTRUÇÃO RCC CLASSE A INERTE COLETADOS PELA EMLURB NO MUNICÍPIO DO RECIFE</v>
      </c>
      <c r="C84" s="90">
        <f>'4o TRIMESTRE'!C84</f>
        <v>0</v>
      </c>
      <c r="D84" s="18">
        <f>'4o TRIMESTRE'!D84</f>
        <v>0</v>
      </c>
      <c r="E84" s="18">
        <f>'4o TRIMESTRE'!E84</f>
        <v>0</v>
      </c>
      <c r="F84" s="18">
        <f>'4o TRIMESTRE'!F84</f>
        <v>0</v>
      </c>
      <c r="G84" s="90" t="str">
        <f>'4o TRIMESTRE'!G84</f>
        <v>10.877.732/0001-18</v>
      </c>
      <c r="H84" s="90" t="str">
        <f>'4o TRIMESTRE'!H84</f>
        <v>CICLO AMBIENTAL LTDA</v>
      </c>
      <c r="I84" s="91" t="str">
        <f>'4o TRIMESTRE'!I84</f>
        <v>6-012/22</v>
      </c>
      <c r="J84" s="92">
        <f>'4o TRIMESTRE'!J84</f>
        <v>44635</v>
      </c>
      <c r="K84" s="91">
        <f>'4o TRIMESTRE'!K84</f>
        <v>1890</v>
      </c>
      <c r="L84" s="18">
        <f>'4o TRIMESTRE'!L84</f>
        <v>28992600</v>
      </c>
      <c r="M84" s="92">
        <f>'4o TRIMESTRE'!M84</f>
        <v>46615</v>
      </c>
      <c r="N84" s="91">
        <f>'4o TRIMESTRE'!N84</f>
        <v>90</v>
      </c>
      <c r="O84" s="18">
        <f>'4o TRIMESTRE'!O84</f>
        <v>0</v>
      </c>
      <c r="P84" s="18">
        <v>-44558.22</v>
      </c>
      <c r="Q84" s="91" t="str">
        <f>'4o TRIMESTRE'!Q84</f>
        <v>3.3.90.39</v>
      </c>
      <c r="R84" s="18">
        <f>'4o TRIMESTRE'!R84</f>
        <v>2760169.98</v>
      </c>
      <c r="S84" s="18">
        <f>'4o TRIMESTRE'!S84</f>
        <v>0</v>
      </c>
      <c r="T84" s="18">
        <f>'4o TRIMESTRE'!T84</f>
        <v>2309359.04</v>
      </c>
      <c r="U84" s="18">
        <f>'4o TRIMESTRE'!U84</f>
        <v>2309359.04</v>
      </c>
      <c r="V84" s="108" t="str">
        <f>'4o TRIMESTRE'!V84</f>
        <v>andamento</v>
      </c>
      <c r="W84" s="93">
        <f t="shared" si="2"/>
        <v>450810.93999999994</v>
      </c>
      <c r="X84" s="107" t="str">
        <f t="shared" si="3"/>
        <v>verdadeiro</v>
      </c>
      <c r="Z84" s="38"/>
      <c r="AC84" s="93"/>
    </row>
    <row r="85" spans="1:29" ht="20.25" customHeight="1">
      <c r="A85" s="90" t="str">
        <f>'4o TRIMESTRE'!A85</f>
        <v>CONCORRÊNCIA / nº 018/2021</v>
      </c>
      <c r="B85" s="90" t="str">
        <f>'4o TRIMESTRE'!B85</f>
        <v>CONTRATAÇÃO DE EMPRESA ESPCIALIZADA NO RAMO DE ENGENHARIA PARA EXECUÇÃO DOS SERVIÇOS DE RECUPERAÇÃO DE REDE DE DRENAGEM E PAVIMENTAÇÃO DA RUA ACAJUTIBA, NO TRECHO ENTRE AS RUAS GÁLIA E PINTO FERREIRA, LOCALIZADAS NO BAIRRO DE BONGI, RECIFE - PE</v>
      </c>
      <c r="C85" s="90">
        <f>'4o TRIMESTRE'!C85</f>
        <v>0</v>
      </c>
      <c r="D85" s="18" t="str">
        <f>'4o TRIMESTRE'!D85</f>
        <v>Emenda Parlamentar Federal - TRANSFERÊNCIA  ESPECIAL - FELIPE CARRERA</v>
      </c>
      <c r="E85" s="18">
        <f>'4o TRIMESTRE'!E85</f>
        <v>3139993</v>
      </c>
      <c r="F85" s="18">
        <f>'4o TRIMESTRE'!F85</f>
        <v>0</v>
      </c>
      <c r="G85" s="90" t="str">
        <f>'4o TRIMESTRE'!G85</f>
        <v>03.608.944/0001-34</v>
      </c>
      <c r="H85" s="90" t="str">
        <f>'4o TRIMESTRE'!H85</f>
        <v>JEPAC CONSTRUCOES LTDA</v>
      </c>
      <c r="I85" s="91" t="str">
        <f>'4o TRIMESTRE'!I85</f>
        <v>6-013/22</v>
      </c>
      <c r="J85" s="92">
        <f>'4o TRIMESTRE'!J85</f>
        <v>44650</v>
      </c>
      <c r="K85" s="91">
        <f>'4o TRIMESTRE'!K85</f>
        <v>150</v>
      </c>
      <c r="L85" s="18">
        <f>'4o TRIMESTRE'!L85</f>
        <v>789983.51</v>
      </c>
      <c r="M85" s="92">
        <f>'4o TRIMESTRE'!M85</f>
        <v>44921</v>
      </c>
      <c r="N85" s="91">
        <f>'4o TRIMESTRE'!N85</f>
        <v>121</v>
      </c>
      <c r="O85" s="18">
        <f>'4o TRIMESTRE'!O85</f>
        <v>132779.3</v>
      </c>
      <c r="P85" s="18">
        <v>331908.48</v>
      </c>
      <c r="Q85" s="91" t="str">
        <f>'4o TRIMESTRE'!Q85</f>
        <v>4.4.90.39</v>
      </c>
      <c r="R85" s="18">
        <f>'4o TRIMESTRE'!R85</f>
        <v>939720.1799999999</v>
      </c>
      <c r="S85" s="18">
        <f>'4o TRIMESTRE'!S85</f>
        <v>0</v>
      </c>
      <c r="T85" s="18">
        <f>'4o TRIMESTRE'!T85</f>
        <v>664286</v>
      </c>
      <c r="U85" s="18">
        <f>'4o TRIMESTRE'!U85</f>
        <v>664286</v>
      </c>
      <c r="V85" s="108" t="str">
        <f>'4o TRIMESTRE'!V85</f>
        <v>encerrado</v>
      </c>
      <c r="W85" s="93">
        <f t="shared" si="2"/>
        <v>275434.17999999993</v>
      </c>
      <c r="X85" s="107" t="str">
        <f t="shared" si="3"/>
        <v>verdadeiro</v>
      </c>
      <c r="Z85" s="38"/>
      <c r="AC85" s="93"/>
    </row>
    <row r="86" spans="1:29" ht="20.25" customHeight="1">
      <c r="A86" s="90" t="str">
        <f>'4o TRIMESTRE'!A86</f>
        <v>CONCORRÊNCIA / nº 001/2021</v>
      </c>
      <c r="B86" s="90" t="str">
        <f>'4o TRIMESTRE'!B86</f>
        <v>CONTRATAÇÃO DE EMPRESA SANITÁRIA ESPECIALIZADA PARA A EXECUÇÃO DOS SERVIÇOS DE COLETA E LIMPEZA URBANA NO MUNICÍPIO DO RECIFE. LOTE 1- A</v>
      </c>
      <c r="C86" s="90">
        <f>'4o TRIMESTRE'!C86</f>
        <v>0</v>
      </c>
      <c r="D86" s="18">
        <f>'4o TRIMESTRE'!D86</f>
        <v>0</v>
      </c>
      <c r="E86" s="18">
        <f>'4o TRIMESTRE'!E86</f>
        <v>0</v>
      </c>
      <c r="F86" s="18">
        <f>'4o TRIMESTRE'!F86</f>
        <v>0</v>
      </c>
      <c r="G86" s="90" t="str">
        <f>'4o TRIMESTRE'!G86</f>
        <v>02.536.066/0015-21</v>
      </c>
      <c r="H86" s="90" t="str">
        <f>'4o TRIMESTRE'!H86</f>
        <v>VITAL ENGENHARIA AMBIENTAL S/A</v>
      </c>
      <c r="I86" s="91" t="str">
        <f>'4o TRIMESTRE'!I86</f>
        <v>6-014/22</v>
      </c>
      <c r="J86" s="92">
        <f>'4o TRIMESTRE'!J86</f>
        <v>44649</v>
      </c>
      <c r="K86" s="91">
        <f>'4o TRIMESTRE'!K86</f>
        <v>1825</v>
      </c>
      <c r="L86" s="18">
        <f>'4o TRIMESTRE'!L86</f>
        <v>201897816.06</v>
      </c>
      <c r="M86" s="92">
        <f>'4o TRIMESTRE'!M86</f>
        <v>46474</v>
      </c>
      <c r="N86" s="91">
        <f>'4o TRIMESTRE'!N86</f>
        <v>0</v>
      </c>
      <c r="O86" s="18">
        <f>'4o TRIMESTRE'!O86</f>
        <v>107578.46</v>
      </c>
      <c r="P86" s="18">
        <v>166644.72</v>
      </c>
      <c r="Q86" s="91" t="str">
        <f>'4o TRIMESTRE'!Q86</f>
        <v>3.3.90.39</v>
      </c>
      <c r="R86" s="18">
        <f>'4o TRIMESTRE'!R86</f>
        <v>15344658.28</v>
      </c>
      <c r="S86" s="18">
        <f>'4o TRIMESTRE'!S86</f>
        <v>0</v>
      </c>
      <c r="T86" s="18">
        <f>'4o TRIMESTRE'!T86</f>
        <v>15129501.36</v>
      </c>
      <c r="U86" s="18">
        <f>'4o TRIMESTRE'!U86</f>
        <v>15129501.36</v>
      </c>
      <c r="V86" s="108" t="str">
        <f>'4o TRIMESTRE'!V86</f>
        <v>encerrado</v>
      </c>
      <c r="W86" s="93">
        <f t="shared" si="2"/>
        <v>215156.91999999993</v>
      </c>
      <c r="X86" s="107" t="str">
        <f t="shared" si="3"/>
        <v>verdadeiro</v>
      </c>
      <c r="Y86" s="38"/>
      <c r="Z86" s="38"/>
      <c r="AA86" s="96"/>
      <c r="AB86" s="97"/>
      <c r="AC86" s="93"/>
    </row>
    <row r="87" spans="1:43" ht="20.25" customHeight="1">
      <c r="A87" s="90" t="str">
        <f>'4o TRIMESTRE'!A87</f>
        <v>CONCORRÊNCIA / nº 001/2021</v>
      </c>
      <c r="B87" s="90" t="str">
        <f>'4o TRIMESTRE'!B87</f>
        <v>CONTRATAÇÃO DE EMPRESA SANITÁRIA ESPECIALIZADA PARA A EXECUÇÃO DOS SERVIÇOS DE COLETA E LIMPEZA URBANA NO MUNICÍPIO DO RECIFE. LOTE 1-B</v>
      </c>
      <c r="C87" s="90">
        <f>'4o TRIMESTRE'!C87</f>
        <v>0</v>
      </c>
      <c r="D87" s="18">
        <f>'4o TRIMESTRE'!D87</f>
        <v>0</v>
      </c>
      <c r="E87" s="18">
        <f>'4o TRIMESTRE'!E87</f>
        <v>0</v>
      </c>
      <c r="F87" s="18">
        <f>'4o TRIMESTRE'!F87</f>
        <v>0</v>
      </c>
      <c r="G87" s="90" t="str">
        <f>'4o TRIMESTRE'!G87</f>
        <v>12.854.865/0001-02</v>
      </c>
      <c r="H87" s="90" t="str">
        <f>'4o TRIMESTRE'!H87</f>
        <v>COELHO DE  ANDRADE ENGENHARIA LTDA</v>
      </c>
      <c r="I87" s="91" t="str">
        <f>'4o TRIMESTRE'!I87</f>
        <v>6-015/22</v>
      </c>
      <c r="J87" s="92">
        <f>'4o TRIMESTRE'!J87</f>
        <v>44649</v>
      </c>
      <c r="K87" s="91">
        <f>'4o TRIMESTRE'!K87</f>
        <v>1825</v>
      </c>
      <c r="L87" s="18">
        <f>'4o TRIMESTRE'!L87</f>
        <v>86512024.75</v>
      </c>
      <c r="M87" s="92">
        <f>'4o TRIMESTRE'!M87</f>
        <v>46474</v>
      </c>
      <c r="N87" s="91">
        <f>'4o TRIMESTRE'!N87</f>
        <v>0</v>
      </c>
      <c r="O87" s="18">
        <f>'4o TRIMESTRE'!O87</f>
        <v>0</v>
      </c>
      <c r="P87" s="18">
        <v>0</v>
      </c>
      <c r="Q87" s="91" t="str">
        <f>'4o TRIMESTRE'!Q87</f>
        <v>3.3.90.39</v>
      </c>
      <c r="R87" s="18">
        <f>'4o TRIMESTRE'!R87</f>
        <v>6564829.219999999</v>
      </c>
      <c r="S87" s="18">
        <f>'4o TRIMESTRE'!S87</f>
        <v>0</v>
      </c>
      <c r="T87" s="18">
        <f>'4o TRIMESTRE'!T87</f>
        <v>6483974.619999999</v>
      </c>
      <c r="U87" s="18">
        <f>'4o TRIMESTRE'!U87</f>
        <v>6483974.619999999</v>
      </c>
      <c r="V87" s="108" t="str">
        <f>'4o TRIMESTRE'!V87</f>
        <v>encerrado</v>
      </c>
      <c r="W87" s="93">
        <f t="shared" si="2"/>
        <v>80854.59999999963</v>
      </c>
      <c r="X87" s="107" t="str">
        <f t="shared" si="3"/>
        <v>verdadeiro</v>
      </c>
      <c r="Z87" s="38"/>
      <c r="AA87" s="96"/>
      <c r="AB87" s="97"/>
      <c r="AC87" s="93"/>
      <c r="AE87" s="87"/>
      <c r="AP87" s="12"/>
      <c r="AQ87" s="87"/>
    </row>
    <row r="88" spans="1:29" ht="20.25" customHeight="1">
      <c r="A88" s="90"/>
      <c r="B88" s="90"/>
      <c r="C88" s="90"/>
      <c r="D88" s="18"/>
      <c r="E88" s="18"/>
      <c r="F88" s="18"/>
      <c r="G88" s="90"/>
      <c r="H88" s="90"/>
      <c r="I88" s="91"/>
      <c r="J88" s="92"/>
      <c r="K88" s="91"/>
      <c r="L88" s="18"/>
      <c r="M88" s="92"/>
      <c r="N88" s="91"/>
      <c r="O88" s="18"/>
      <c r="P88" s="18"/>
      <c r="Q88" s="91"/>
      <c r="R88" s="18"/>
      <c r="S88" s="18"/>
      <c r="T88" s="18"/>
      <c r="U88" s="18"/>
      <c r="V88" s="108"/>
      <c r="W88" s="93"/>
      <c r="X88" s="107"/>
      <c r="Y88" s="38"/>
      <c r="Z88" s="38"/>
      <c r="AA88" s="96"/>
      <c r="AB88" s="97"/>
      <c r="AC88" s="93"/>
    </row>
    <row r="89" spans="1:29" ht="20.25" customHeight="1">
      <c r="A89" s="90"/>
      <c r="B89" s="90"/>
      <c r="C89" s="90"/>
      <c r="D89" s="18"/>
      <c r="E89" s="18"/>
      <c r="F89" s="18"/>
      <c r="G89" s="90"/>
      <c r="H89" s="90"/>
      <c r="I89" s="91"/>
      <c r="J89" s="92"/>
      <c r="K89" s="91"/>
      <c r="L89" s="18"/>
      <c r="M89" s="92"/>
      <c r="N89" s="91"/>
      <c r="O89" s="18"/>
      <c r="P89" s="18"/>
      <c r="Q89" s="91"/>
      <c r="R89" s="18"/>
      <c r="S89" s="18"/>
      <c r="T89" s="18"/>
      <c r="U89" s="18"/>
      <c r="V89" s="108"/>
      <c r="W89" s="93"/>
      <c r="X89" s="107"/>
      <c r="Z89" s="38"/>
      <c r="AA89" s="96"/>
      <c r="AB89" s="97"/>
      <c r="AC89" s="93"/>
    </row>
    <row r="90" spans="1:29" ht="20.25" customHeight="1">
      <c r="A90" s="90"/>
      <c r="B90" s="90"/>
      <c r="C90" s="90"/>
      <c r="D90" s="18"/>
      <c r="E90" s="18"/>
      <c r="F90" s="18"/>
      <c r="G90" s="90"/>
      <c r="H90" s="90"/>
      <c r="I90" s="91"/>
      <c r="J90" s="92"/>
      <c r="K90" s="91"/>
      <c r="L90" s="18"/>
      <c r="M90" s="92"/>
      <c r="N90" s="91"/>
      <c r="O90" s="18"/>
      <c r="P90" s="18"/>
      <c r="Q90" s="91"/>
      <c r="R90" s="18"/>
      <c r="S90" s="18"/>
      <c r="T90" s="18"/>
      <c r="U90" s="18"/>
      <c r="V90" s="108"/>
      <c r="W90" s="93"/>
      <c r="X90" s="107"/>
      <c r="Z90" s="38"/>
      <c r="AC90" s="93"/>
    </row>
    <row r="91" spans="1:29" ht="20.25" customHeight="1">
      <c r="A91" s="90"/>
      <c r="B91" s="90"/>
      <c r="C91" s="90"/>
      <c r="D91" s="18"/>
      <c r="E91" s="18"/>
      <c r="F91" s="18"/>
      <c r="G91" s="90"/>
      <c r="H91" s="90"/>
      <c r="I91" s="91"/>
      <c r="J91" s="92"/>
      <c r="K91" s="91"/>
      <c r="L91" s="18"/>
      <c r="M91" s="92"/>
      <c r="N91" s="91"/>
      <c r="O91" s="18"/>
      <c r="P91" s="18"/>
      <c r="Q91" s="91"/>
      <c r="R91" s="18"/>
      <c r="S91" s="18"/>
      <c r="T91" s="18"/>
      <c r="U91" s="18"/>
      <c r="V91" s="108"/>
      <c r="W91" s="93"/>
      <c r="X91" s="107"/>
      <c r="Z91" s="38"/>
      <c r="AC91" s="93"/>
    </row>
    <row r="92" spans="1:29" ht="20.25" customHeight="1">
      <c r="A92" s="90"/>
      <c r="B92" s="90"/>
      <c r="C92" s="90"/>
      <c r="D92" s="18"/>
      <c r="E92" s="18"/>
      <c r="F92" s="18"/>
      <c r="G92" s="90"/>
      <c r="H92" s="90"/>
      <c r="I92" s="91"/>
      <c r="J92" s="92"/>
      <c r="K92" s="91"/>
      <c r="L92" s="18"/>
      <c r="M92" s="92"/>
      <c r="N92" s="91"/>
      <c r="O92" s="18"/>
      <c r="P92" s="18"/>
      <c r="Q92" s="91"/>
      <c r="R92" s="18"/>
      <c r="S92" s="18"/>
      <c r="T92" s="18"/>
      <c r="U92" s="18"/>
      <c r="V92" s="108"/>
      <c r="W92" s="93"/>
      <c r="X92" s="107"/>
      <c r="Z92" s="38"/>
      <c r="AC92" s="93"/>
    </row>
    <row r="93" spans="1:29" ht="20.25" customHeight="1">
      <c r="A93" s="90"/>
      <c r="B93" s="90"/>
      <c r="C93" s="90"/>
      <c r="D93" s="18"/>
      <c r="E93" s="18"/>
      <c r="F93" s="18"/>
      <c r="G93" s="90"/>
      <c r="H93" s="90"/>
      <c r="I93" s="91"/>
      <c r="J93" s="92"/>
      <c r="K93" s="91"/>
      <c r="L93" s="18"/>
      <c r="M93" s="92"/>
      <c r="N93" s="91"/>
      <c r="O93" s="18"/>
      <c r="P93" s="18"/>
      <c r="Q93" s="91"/>
      <c r="R93" s="18"/>
      <c r="S93" s="18"/>
      <c r="T93" s="18"/>
      <c r="U93" s="18"/>
      <c r="V93" s="108"/>
      <c r="W93" s="93"/>
      <c r="X93" s="107"/>
      <c r="Z93" s="38"/>
      <c r="AC93" s="93"/>
    </row>
    <row r="94" spans="1:29" ht="20.25" customHeight="1">
      <c r="A94" s="90"/>
      <c r="B94" s="90"/>
      <c r="C94" s="90"/>
      <c r="D94" s="18"/>
      <c r="E94" s="18"/>
      <c r="F94" s="18"/>
      <c r="G94" s="90"/>
      <c r="H94" s="90"/>
      <c r="I94" s="91"/>
      <c r="J94" s="92"/>
      <c r="K94" s="91"/>
      <c r="L94" s="18"/>
      <c r="M94" s="92"/>
      <c r="N94" s="91"/>
      <c r="O94" s="18"/>
      <c r="P94" s="18"/>
      <c r="Q94" s="91"/>
      <c r="R94" s="18"/>
      <c r="S94" s="18"/>
      <c r="T94" s="18"/>
      <c r="U94" s="18"/>
      <c r="V94" s="108"/>
      <c r="W94" s="93"/>
      <c r="X94" s="107"/>
      <c r="Z94" s="38"/>
      <c r="AC94" s="93"/>
    </row>
    <row r="95" spans="1:29" ht="20.25" customHeight="1">
      <c r="A95" s="90"/>
      <c r="B95" s="90"/>
      <c r="C95" s="90"/>
      <c r="D95" s="18"/>
      <c r="E95" s="18"/>
      <c r="F95" s="18"/>
      <c r="G95" s="90"/>
      <c r="H95" s="90"/>
      <c r="I95" s="91"/>
      <c r="J95" s="92"/>
      <c r="K95" s="91"/>
      <c r="L95" s="18"/>
      <c r="M95" s="92"/>
      <c r="N95" s="91"/>
      <c r="O95" s="18"/>
      <c r="P95" s="18"/>
      <c r="Q95" s="91"/>
      <c r="R95" s="18"/>
      <c r="S95" s="18"/>
      <c r="T95" s="18"/>
      <c r="U95" s="18"/>
      <c r="V95" s="108"/>
      <c r="W95" s="93"/>
      <c r="X95" s="107"/>
      <c r="Z95" s="38"/>
      <c r="AC95" s="93"/>
    </row>
    <row r="96" spans="1:29" ht="20.25" customHeight="1">
      <c r="A96" s="90"/>
      <c r="B96" s="90"/>
      <c r="C96" s="90"/>
      <c r="D96" s="18"/>
      <c r="E96" s="18"/>
      <c r="F96" s="18"/>
      <c r="G96" s="90"/>
      <c r="H96" s="90"/>
      <c r="I96" s="91"/>
      <c r="J96" s="92"/>
      <c r="K96" s="91"/>
      <c r="L96" s="18"/>
      <c r="M96" s="92"/>
      <c r="N96" s="91"/>
      <c r="O96" s="18"/>
      <c r="P96" s="18"/>
      <c r="Q96" s="91"/>
      <c r="R96" s="18"/>
      <c r="S96" s="18"/>
      <c r="T96" s="18"/>
      <c r="U96" s="18"/>
      <c r="V96" s="108"/>
      <c r="W96" s="93"/>
      <c r="X96" s="107"/>
      <c r="Z96" s="38"/>
      <c r="AC96" s="93"/>
    </row>
    <row r="97" spans="1:29" ht="20.25" customHeight="1">
      <c r="A97" s="90"/>
      <c r="B97" s="90"/>
      <c r="C97" s="90"/>
      <c r="D97" s="18"/>
      <c r="E97" s="18"/>
      <c r="F97" s="18"/>
      <c r="G97" s="90"/>
      <c r="H97" s="90"/>
      <c r="I97" s="91"/>
      <c r="J97" s="92"/>
      <c r="K97" s="91"/>
      <c r="L97" s="18"/>
      <c r="M97" s="92"/>
      <c r="N97" s="91"/>
      <c r="O97" s="18"/>
      <c r="P97" s="18"/>
      <c r="Q97" s="91"/>
      <c r="R97" s="18"/>
      <c r="S97" s="18"/>
      <c r="T97" s="18"/>
      <c r="U97" s="18"/>
      <c r="V97" s="108"/>
      <c r="W97" s="93"/>
      <c r="X97" s="107"/>
      <c r="Z97" s="38"/>
      <c r="AC97" s="93"/>
    </row>
    <row r="98" spans="1:29" ht="20.25" customHeight="1">
      <c r="A98" s="90"/>
      <c r="B98" s="90"/>
      <c r="C98" s="90"/>
      <c r="D98" s="18"/>
      <c r="E98" s="18"/>
      <c r="F98" s="18"/>
      <c r="G98" s="90"/>
      <c r="H98" s="90"/>
      <c r="I98" s="91"/>
      <c r="J98" s="92"/>
      <c r="K98" s="91"/>
      <c r="L98" s="18"/>
      <c r="M98" s="92"/>
      <c r="N98" s="91"/>
      <c r="O98" s="18"/>
      <c r="P98" s="18"/>
      <c r="Q98" s="91"/>
      <c r="R98" s="18"/>
      <c r="S98" s="18"/>
      <c r="T98" s="18"/>
      <c r="U98" s="18"/>
      <c r="V98" s="108"/>
      <c r="W98" s="93"/>
      <c r="X98" s="107"/>
      <c r="Z98" s="38"/>
      <c r="AC98" s="93"/>
    </row>
    <row r="99" spans="1:29" ht="20.25" customHeight="1">
      <c r="A99" s="90"/>
      <c r="B99" s="90"/>
      <c r="C99" s="90"/>
      <c r="D99" s="18"/>
      <c r="E99" s="18"/>
      <c r="F99" s="18"/>
      <c r="G99" s="90"/>
      <c r="H99" s="90"/>
      <c r="I99" s="91"/>
      <c r="J99" s="92"/>
      <c r="K99" s="91"/>
      <c r="L99" s="18"/>
      <c r="M99" s="92"/>
      <c r="N99" s="91"/>
      <c r="O99" s="18"/>
      <c r="P99" s="18"/>
      <c r="Q99" s="91"/>
      <c r="R99" s="18"/>
      <c r="S99" s="18"/>
      <c r="T99" s="18"/>
      <c r="U99" s="18"/>
      <c r="V99" s="108"/>
      <c r="W99" s="93"/>
      <c r="X99" s="107"/>
      <c r="Y99" s="38"/>
      <c r="Z99" s="38"/>
      <c r="AC99" s="93"/>
    </row>
    <row r="100" spans="1:29" ht="20.25" customHeight="1">
      <c r="A100" s="90"/>
      <c r="B100" s="90"/>
      <c r="C100" s="90"/>
      <c r="D100" s="18"/>
      <c r="E100" s="18"/>
      <c r="F100" s="18"/>
      <c r="G100" s="90"/>
      <c r="H100" s="90"/>
      <c r="I100" s="91"/>
      <c r="J100" s="92"/>
      <c r="K100" s="91"/>
      <c r="L100" s="18"/>
      <c r="M100" s="92"/>
      <c r="N100" s="91"/>
      <c r="O100" s="18"/>
      <c r="P100" s="18"/>
      <c r="Q100" s="91"/>
      <c r="R100" s="18"/>
      <c r="S100" s="18"/>
      <c r="T100" s="18"/>
      <c r="U100" s="18"/>
      <c r="V100" s="108"/>
      <c r="W100" s="93"/>
      <c r="X100" s="107"/>
      <c r="Z100" s="38"/>
      <c r="AC100" s="93"/>
    </row>
    <row r="101" spans="1:29" ht="20.25" customHeight="1">
      <c r="A101" s="90"/>
      <c r="B101" s="90"/>
      <c r="C101" s="90"/>
      <c r="D101" s="18"/>
      <c r="E101" s="18"/>
      <c r="F101" s="18"/>
      <c r="G101" s="90"/>
      <c r="H101" s="90"/>
      <c r="I101" s="91"/>
      <c r="J101" s="92"/>
      <c r="K101" s="91"/>
      <c r="L101" s="18"/>
      <c r="M101" s="92"/>
      <c r="N101" s="91"/>
      <c r="O101" s="18"/>
      <c r="P101" s="18"/>
      <c r="Q101" s="91"/>
      <c r="R101" s="18"/>
      <c r="S101" s="18"/>
      <c r="T101" s="18"/>
      <c r="U101" s="18"/>
      <c r="V101" s="108"/>
      <c r="W101" s="93"/>
      <c r="X101" s="107"/>
      <c r="Y101" s="38"/>
      <c r="Z101" s="38"/>
      <c r="AC101" s="93"/>
    </row>
    <row r="102" spans="1:29" ht="20.25" customHeight="1">
      <c r="A102" s="90"/>
      <c r="B102" s="90"/>
      <c r="C102" s="90"/>
      <c r="D102" s="18"/>
      <c r="E102" s="18"/>
      <c r="F102" s="18"/>
      <c r="G102" s="90"/>
      <c r="H102" s="90"/>
      <c r="I102" s="91"/>
      <c r="J102" s="92"/>
      <c r="K102" s="91"/>
      <c r="L102" s="18"/>
      <c r="M102" s="92"/>
      <c r="N102" s="91"/>
      <c r="O102" s="18"/>
      <c r="P102" s="18"/>
      <c r="Q102" s="91"/>
      <c r="R102" s="18"/>
      <c r="S102" s="18"/>
      <c r="T102" s="18"/>
      <c r="U102" s="18"/>
      <c r="V102" s="108"/>
      <c r="W102" s="93"/>
      <c r="X102" s="107"/>
      <c r="Z102" s="38"/>
      <c r="AC102" s="93"/>
    </row>
    <row r="103" spans="1:29" ht="20.25" customHeight="1">
      <c r="A103" s="90"/>
      <c r="B103" s="90"/>
      <c r="C103" s="90"/>
      <c r="D103" s="18"/>
      <c r="E103" s="18"/>
      <c r="F103" s="18"/>
      <c r="G103" s="90"/>
      <c r="H103" s="90"/>
      <c r="I103" s="91"/>
      <c r="J103" s="92"/>
      <c r="K103" s="91"/>
      <c r="L103" s="18"/>
      <c r="M103" s="92"/>
      <c r="N103" s="91"/>
      <c r="O103" s="18"/>
      <c r="P103" s="18"/>
      <c r="Q103" s="91"/>
      <c r="R103" s="18"/>
      <c r="S103" s="18"/>
      <c r="T103" s="18"/>
      <c r="U103" s="18"/>
      <c r="V103" s="108"/>
      <c r="W103" s="93"/>
      <c r="X103" s="107"/>
      <c r="Z103" s="38"/>
      <c r="AC103" s="93"/>
    </row>
    <row r="104" spans="1:29" ht="20.25" customHeight="1">
      <c r="A104" s="90"/>
      <c r="B104" s="90"/>
      <c r="C104" s="90"/>
      <c r="D104" s="18"/>
      <c r="E104" s="18"/>
      <c r="F104" s="18"/>
      <c r="G104" s="90"/>
      <c r="H104" s="90"/>
      <c r="I104" s="91"/>
      <c r="J104" s="92"/>
      <c r="K104" s="91"/>
      <c r="L104" s="18"/>
      <c r="M104" s="92"/>
      <c r="N104" s="91"/>
      <c r="O104" s="18"/>
      <c r="P104" s="18"/>
      <c r="Q104" s="91"/>
      <c r="R104" s="18"/>
      <c r="S104" s="18"/>
      <c r="T104" s="18"/>
      <c r="U104" s="18"/>
      <c r="V104" s="108"/>
      <c r="W104" s="93"/>
      <c r="X104" s="107"/>
      <c r="Z104" s="38"/>
      <c r="AC104" s="93"/>
    </row>
    <row r="105" spans="1:29" ht="20.25" customHeight="1">
      <c r="A105" s="90"/>
      <c r="B105" s="90"/>
      <c r="C105" s="90"/>
      <c r="D105" s="18"/>
      <c r="E105" s="18"/>
      <c r="F105" s="18"/>
      <c r="G105" s="90"/>
      <c r="H105" s="90"/>
      <c r="I105" s="91"/>
      <c r="J105" s="92"/>
      <c r="K105" s="91"/>
      <c r="L105" s="18"/>
      <c r="M105" s="92"/>
      <c r="N105" s="91"/>
      <c r="O105" s="18"/>
      <c r="P105" s="18"/>
      <c r="Q105" s="91"/>
      <c r="R105" s="18"/>
      <c r="S105" s="18"/>
      <c r="T105" s="18"/>
      <c r="U105" s="18"/>
      <c r="V105" s="108"/>
      <c r="W105" s="93"/>
      <c r="X105" s="107"/>
      <c r="Z105" s="38"/>
      <c r="AC105" s="93"/>
    </row>
    <row r="106" spans="1:29" ht="20.25" customHeight="1">
      <c r="A106" s="90"/>
      <c r="B106" s="90"/>
      <c r="C106" s="90"/>
      <c r="D106" s="18"/>
      <c r="E106" s="18"/>
      <c r="F106" s="18"/>
      <c r="G106" s="90"/>
      <c r="H106" s="90"/>
      <c r="I106" s="91"/>
      <c r="J106" s="92"/>
      <c r="K106" s="91"/>
      <c r="L106" s="18"/>
      <c r="M106" s="92"/>
      <c r="N106" s="91"/>
      <c r="O106" s="18"/>
      <c r="P106" s="18"/>
      <c r="Q106" s="91"/>
      <c r="R106" s="18"/>
      <c r="S106" s="18"/>
      <c r="T106" s="18"/>
      <c r="U106" s="18"/>
      <c r="V106" s="108"/>
      <c r="W106" s="93"/>
      <c r="X106" s="107"/>
      <c r="Z106" s="38"/>
      <c r="AC106" s="93"/>
    </row>
    <row r="107" spans="1:29" ht="20.25" customHeight="1">
      <c r="A107" s="90"/>
      <c r="B107" s="90"/>
      <c r="C107" s="90"/>
      <c r="D107" s="18"/>
      <c r="E107" s="18"/>
      <c r="F107" s="18"/>
      <c r="G107" s="90"/>
      <c r="H107" s="90"/>
      <c r="I107" s="91"/>
      <c r="J107" s="92"/>
      <c r="K107" s="91"/>
      <c r="L107" s="18"/>
      <c r="M107" s="92"/>
      <c r="N107" s="91"/>
      <c r="O107" s="18"/>
      <c r="P107" s="18"/>
      <c r="Q107" s="91"/>
      <c r="R107" s="18"/>
      <c r="S107" s="18"/>
      <c r="T107" s="18"/>
      <c r="U107" s="18"/>
      <c r="V107" s="108"/>
      <c r="W107" s="93"/>
      <c r="X107" s="107"/>
      <c r="Z107" s="38"/>
      <c r="AC107" s="93"/>
    </row>
    <row r="108" spans="1:26" ht="20.25" customHeight="1">
      <c r="A108" s="90"/>
      <c r="B108" s="90"/>
      <c r="C108" s="90"/>
      <c r="D108" s="18"/>
      <c r="E108" s="18"/>
      <c r="F108" s="18"/>
      <c r="G108" s="90"/>
      <c r="H108" s="90"/>
      <c r="I108" s="91"/>
      <c r="J108" s="92"/>
      <c r="K108" s="91"/>
      <c r="L108" s="18"/>
      <c r="M108" s="92"/>
      <c r="N108" s="91"/>
      <c r="O108" s="18"/>
      <c r="P108" s="18"/>
      <c r="Q108" s="91"/>
      <c r="R108" s="18"/>
      <c r="S108" s="18"/>
      <c r="T108" s="18"/>
      <c r="U108" s="18"/>
      <c r="V108" s="108"/>
      <c r="W108" s="93"/>
      <c r="X108" s="107"/>
      <c r="Z108" s="38"/>
    </row>
    <row r="109" spans="1:26" ht="20.25" customHeight="1">
      <c r="A109" s="90"/>
      <c r="B109" s="90"/>
      <c r="C109" s="90"/>
      <c r="D109" s="18"/>
      <c r="E109" s="18"/>
      <c r="F109" s="18"/>
      <c r="G109" s="90"/>
      <c r="H109" s="90"/>
      <c r="I109" s="91"/>
      <c r="J109" s="92"/>
      <c r="K109" s="91"/>
      <c r="L109" s="18"/>
      <c r="M109" s="92"/>
      <c r="N109" s="91"/>
      <c r="O109" s="18"/>
      <c r="P109" s="18"/>
      <c r="Q109" s="91"/>
      <c r="R109" s="18"/>
      <c r="S109" s="18"/>
      <c r="T109" s="18"/>
      <c r="U109" s="18"/>
      <c r="V109" s="108"/>
      <c r="W109" s="93"/>
      <c r="X109" s="107"/>
      <c r="Z109" s="38"/>
    </row>
    <row r="110" spans="4:119" s="90" customFormat="1" ht="20.25" customHeight="1">
      <c r="D110" s="18"/>
      <c r="E110" s="18"/>
      <c r="F110" s="18"/>
      <c r="I110" s="91"/>
      <c r="J110" s="92"/>
      <c r="K110" s="91"/>
      <c r="L110" s="18"/>
      <c r="M110" s="92"/>
      <c r="N110" s="91"/>
      <c r="O110" s="18"/>
      <c r="P110" s="18"/>
      <c r="Q110" s="91"/>
      <c r="R110" s="18"/>
      <c r="S110" s="18"/>
      <c r="T110" s="18"/>
      <c r="U110" s="18"/>
      <c r="V110" s="108"/>
      <c r="W110" s="93"/>
      <c r="X110" s="107"/>
      <c r="Y110" s="25"/>
      <c r="Z110" s="38"/>
      <c r="AA110" s="20"/>
      <c r="AB110" s="20"/>
      <c r="AC110" s="98"/>
      <c r="AD110" s="56"/>
      <c r="AE110" s="56"/>
      <c r="AF110" s="99"/>
      <c r="AG110" s="99"/>
      <c r="AH110" s="99"/>
      <c r="AI110" s="99"/>
      <c r="AJ110" s="99"/>
      <c r="AK110" s="99"/>
      <c r="AL110" s="99"/>
      <c r="AM110" s="99"/>
      <c r="AN110" s="99"/>
      <c r="AO110" s="99"/>
      <c r="AP110" s="99"/>
      <c r="AQ110" s="56"/>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100"/>
    </row>
    <row r="111" spans="1:24" ht="20.25" customHeight="1">
      <c r="A111" s="90"/>
      <c r="B111" s="90"/>
      <c r="C111" s="90"/>
      <c r="D111" s="18"/>
      <c r="E111" s="18"/>
      <c r="F111" s="18"/>
      <c r="G111" s="90"/>
      <c r="H111" s="90"/>
      <c r="I111" s="91"/>
      <c r="J111" s="92"/>
      <c r="K111" s="91"/>
      <c r="L111" s="18"/>
      <c r="M111" s="92"/>
      <c r="N111" s="91"/>
      <c r="O111" s="18"/>
      <c r="P111" s="18"/>
      <c r="Q111" s="91"/>
      <c r="R111" s="18"/>
      <c r="S111" s="18"/>
      <c r="T111" s="18"/>
      <c r="U111" s="18"/>
      <c r="V111" s="108"/>
      <c r="W111" s="93"/>
      <c r="X111" s="107"/>
    </row>
    <row r="112" spans="1:24" ht="20.25" customHeight="1">
      <c r="A112" s="90"/>
      <c r="B112" s="90"/>
      <c r="C112" s="90"/>
      <c r="D112" s="18"/>
      <c r="E112" s="18"/>
      <c r="F112" s="18"/>
      <c r="G112" s="90"/>
      <c r="H112" s="90"/>
      <c r="I112" s="91"/>
      <c r="J112" s="92"/>
      <c r="K112" s="91"/>
      <c r="L112" s="18"/>
      <c r="M112" s="92"/>
      <c r="N112" s="91"/>
      <c r="O112" s="18"/>
      <c r="P112" s="18"/>
      <c r="Q112" s="91"/>
      <c r="R112" s="18"/>
      <c r="S112" s="18"/>
      <c r="T112" s="18"/>
      <c r="U112" s="18"/>
      <c r="V112" s="108"/>
      <c r="W112" s="93"/>
      <c r="X112" s="107"/>
    </row>
    <row r="113" spans="1:24" ht="20.25" customHeight="1">
      <c r="A113" s="90"/>
      <c r="B113" s="90"/>
      <c r="C113" s="90"/>
      <c r="D113" s="18"/>
      <c r="E113" s="18"/>
      <c r="F113" s="18"/>
      <c r="G113" s="90"/>
      <c r="H113" s="90"/>
      <c r="I113" s="91"/>
      <c r="J113" s="92"/>
      <c r="K113" s="91"/>
      <c r="L113" s="18"/>
      <c r="M113" s="92"/>
      <c r="N113" s="91"/>
      <c r="O113" s="18"/>
      <c r="P113" s="18"/>
      <c r="Q113" s="91"/>
      <c r="R113" s="18"/>
      <c r="S113" s="18"/>
      <c r="T113" s="18"/>
      <c r="U113" s="18"/>
      <c r="V113" s="108"/>
      <c r="W113" s="93"/>
      <c r="X113" s="107"/>
    </row>
    <row r="114" spans="1:24" ht="20.25" customHeight="1">
      <c r="A114" s="90"/>
      <c r="B114" s="90"/>
      <c r="C114" s="90"/>
      <c r="D114" s="18"/>
      <c r="E114" s="18"/>
      <c r="F114" s="18"/>
      <c r="G114" s="90"/>
      <c r="H114" s="90"/>
      <c r="I114" s="91"/>
      <c r="J114" s="92"/>
      <c r="K114" s="91"/>
      <c r="L114" s="18"/>
      <c r="M114" s="92"/>
      <c r="N114" s="91"/>
      <c r="O114" s="18"/>
      <c r="P114" s="18"/>
      <c r="Q114" s="91"/>
      <c r="R114" s="18"/>
      <c r="S114" s="18"/>
      <c r="T114" s="18"/>
      <c r="U114" s="18"/>
      <c r="V114" s="108"/>
      <c r="W114" s="93"/>
      <c r="X114" s="107"/>
    </row>
    <row r="115" spans="1:24" ht="20.25" customHeight="1">
      <c r="A115" s="90"/>
      <c r="B115" s="90"/>
      <c r="C115" s="90"/>
      <c r="D115" s="18"/>
      <c r="E115" s="18"/>
      <c r="F115" s="18"/>
      <c r="G115" s="90"/>
      <c r="H115" s="90"/>
      <c r="I115" s="91"/>
      <c r="J115" s="92"/>
      <c r="K115" s="91"/>
      <c r="L115" s="18"/>
      <c r="M115" s="92"/>
      <c r="N115" s="91"/>
      <c r="O115" s="18"/>
      <c r="P115" s="18"/>
      <c r="Q115" s="91"/>
      <c r="R115" s="18"/>
      <c r="S115" s="18"/>
      <c r="T115" s="18"/>
      <c r="U115" s="18"/>
      <c r="V115" s="108"/>
      <c r="W115" s="93"/>
      <c r="X115" s="107"/>
    </row>
    <row r="116" spans="1:24" ht="20.25" customHeight="1">
      <c r="A116" s="90"/>
      <c r="B116" s="90"/>
      <c r="C116" s="90"/>
      <c r="D116" s="18"/>
      <c r="E116" s="18"/>
      <c r="F116" s="18"/>
      <c r="G116" s="90"/>
      <c r="H116" s="90"/>
      <c r="I116" s="91"/>
      <c r="J116" s="92"/>
      <c r="K116" s="91"/>
      <c r="L116" s="18"/>
      <c r="M116" s="92"/>
      <c r="N116" s="91"/>
      <c r="O116" s="18"/>
      <c r="P116" s="18"/>
      <c r="Q116" s="91"/>
      <c r="R116" s="18"/>
      <c r="S116" s="18"/>
      <c r="T116" s="18"/>
      <c r="U116" s="18"/>
      <c r="V116" s="108"/>
      <c r="W116" s="93"/>
      <c r="X116" s="107"/>
    </row>
    <row r="117" spans="1:24" ht="20.25" customHeight="1">
      <c r="A117" s="90"/>
      <c r="B117" s="90"/>
      <c r="C117" s="90"/>
      <c r="D117" s="18"/>
      <c r="E117" s="18"/>
      <c r="F117" s="18"/>
      <c r="G117" s="90"/>
      <c r="H117" s="90"/>
      <c r="I117" s="91"/>
      <c r="J117" s="92"/>
      <c r="K117" s="91"/>
      <c r="L117" s="18"/>
      <c r="M117" s="92"/>
      <c r="N117" s="91"/>
      <c r="O117" s="18"/>
      <c r="P117" s="18"/>
      <c r="Q117" s="91"/>
      <c r="R117" s="18"/>
      <c r="S117" s="18"/>
      <c r="T117" s="18"/>
      <c r="U117" s="18"/>
      <c r="V117" s="108"/>
      <c r="W117" s="93"/>
      <c r="X117" s="107"/>
    </row>
    <row r="118" spans="1:24" ht="20.25" customHeight="1">
      <c r="A118" s="90"/>
      <c r="B118" s="90"/>
      <c r="C118" s="90"/>
      <c r="D118" s="18"/>
      <c r="E118" s="18"/>
      <c r="F118" s="18"/>
      <c r="G118" s="90"/>
      <c r="H118" s="90"/>
      <c r="I118" s="91"/>
      <c r="J118" s="92"/>
      <c r="K118" s="91"/>
      <c r="L118" s="18"/>
      <c r="M118" s="92"/>
      <c r="N118" s="91"/>
      <c r="O118" s="18"/>
      <c r="P118" s="18"/>
      <c r="Q118" s="91"/>
      <c r="R118" s="18"/>
      <c r="S118" s="18"/>
      <c r="T118" s="18"/>
      <c r="U118" s="18"/>
      <c r="V118" s="108"/>
      <c r="W118" s="93"/>
      <c r="X118" s="107"/>
    </row>
    <row r="119" spans="1:24" ht="20.25" customHeight="1">
      <c r="A119" s="90"/>
      <c r="B119" s="90"/>
      <c r="C119" s="90"/>
      <c r="D119" s="18"/>
      <c r="E119" s="18"/>
      <c r="F119" s="18"/>
      <c r="G119" s="90"/>
      <c r="H119" s="90"/>
      <c r="I119" s="91"/>
      <c r="J119" s="92"/>
      <c r="K119" s="91"/>
      <c r="L119" s="18"/>
      <c r="M119" s="92"/>
      <c r="N119" s="91"/>
      <c r="O119" s="18"/>
      <c r="P119" s="18"/>
      <c r="Q119" s="91"/>
      <c r="R119" s="18"/>
      <c r="S119" s="18"/>
      <c r="T119" s="18"/>
      <c r="U119" s="18"/>
      <c r="V119" s="108"/>
      <c r="W119" s="93"/>
      <c r="X119" s="107"/>
    </row>
    <row r="120" spans="1:24" ht="20.25" customHeight="1">
      <c r="A120" s="90"/>
      <c r="B120" s="90"/>
      <c r="C120" s="90"/>
      <c r="D120" s="18"/>
      <c r="E120" s="18"/>
      <c r="F120" s="18"/>
      <c r="G120" s="90"/>
      <c r="H120" s="90"/>
      <c r="I120" s="91"/>
      <c r="J120" s="92"/>
      <c r="K120" s="91"/>
      <c r="L120" s="18"/>
      <c r="M120" s="92"/>
      <c r="N120" s="91"/>
      <c r="O120" s="18"/>
      <c r="P120" s="18"/>
      <c r="Q120" s="91"/>
      <c r="R120" s="18"/>
      <c r="S120" s="18"/>
      <c r="T120" s="18"/>
      <c r="U120" s="18"/>
      <c r="V120" s="108"/>
      <c r="W120" s="93"/>
      <c r="X120" s="107"/>
    </row>
    <row r="121" spans="1:24" ht="20.25" customHeight="1">
      <c r="A121" s="90"/>
      <c r="B121" s="90"/>
      <c r="C121" s="90"/>
      <c r="D121" s="18"/>
      <c r="E121" s="18"/>
      <c r="F121" s="18"/>
      <c r="G121" s="90"/>
      <c r="H121" s="90"/>
      <c r="I121" s="91"/>
      <c r="J121" s="92"/>
      <c r="K121" s="91"/>
      <c r="L121" s="18"/>
      <c r="M121" s="92"/>
      <c r="N121" s="91"/>
      <c r="O121" s="18"/>
      <c r="P121" s="18"/>
      <c r="Q121" s="91"/>
      <c r="R121" s="18"/>
      <c r="S121" s="18"/>
      <c r="T121" s="18"/>
      <c r="U121" s="18"/>
      <c r="V121" s="108"/>
      <c r="W121" s="93"/>
      <c r="X121" s="107"/>
    </row>
    <row r="122" spans="1:24" ht="20.25" customHeight="1">
      <c r="A122" s="90"/>
      <c r="B122" s="90"/>
      <c r="C122" s="90"/>
      <c r="D122" s="18"/>
      <c r="E122" s="18"/>
      <c r="F122" s="18"/>
      <c r="G122" s="90"/>
      <c r="H122" s="90"/>
      <c r="I122" s="91"/>
      <c r="J122" s="92"/>
      <c r="K122" s="91"/>
      <c r="L122" s="18"/>
      <c r="M122" s="92"/>
      <c r="N122" s="91"/>
      <c r="O122" s="18"/>
      <c r="P122" s="18"/>
      <c r="Q122" s="91"/>
      <c r="R122" s="18"/>
      <c r="S122" s="18"/>
      <c r="T122" s="18"/>
      <c r="U122" s="18"/>
      <c r="V122" s="108"/>
      <c r="W122" s="93"/>
      <c r="X122" s="107"/>
    </row>
    <row r="123" spans="1:24" ht="20.25" customHeight="1">
      <c r="A123" s="90"/>
      <c r="B123" s="90"/>
      <c r="C123" s="90"/>
      <c r="D123" s="18"/>
      <c r="E123" s="18"/>
      <c r="F123" s="18"/>
      <c r="G123" s="90"/>
      <c r="H123" s="90"/>
      <c r="I123" s="91"/>
      <c r="J123" s="92"/>
      <c r="K123" s="91"/>
      <c r="L123" s="18"/>
      <c r="M123" s="92"/>
      <c r="N123" s="91"/>
      <c r="O123" s="18"/>
      <c r="P123" s="18"/>
      <c r="Q123" s="91"/>
      <c r="R123" s="18"/>
      <c r="S123" s="18"/>
      <c r="T123" s="18"/>
      <c r="U123" s="18"/>
      <c r="V123" s="108"/>
      <c r="W123" s="93"/>
      <c r="X123" s="107"/>
    </row>
    <row r="124" spans="1:24" ht="20.25" customHeight="1">
      <c r="A124" s="90"/>
      <c r="B124" s="90"/>
      <c r="C124" s="90"/>
      <c r="D124" s="18"/>
      <c r="E124" s="18"/>
      <c r="F124" s="18"/>
      <c r="G124" s="90"/>
      <c r="H124" s="90"/>
      <c r="I124" s="91"/>
      <c r="J124" s="92"/>
      <c r="K124" s="91"/>
      <c r="L124" s="18"/>
      <c r="M124" s="92"/>
      <c r="N124" s="91"/>
      <c r="O124" s="18"/>
      <c r="P124" s="18"/>
      <c r="Q124" s="91"/>
      <c r="R124" s="18"/>
      <c r="S124" s="18"/>
      <c r="T124" s="18"/>
      <c r="U124" s="18"/>
      <c r="V124" s="108"/>
      <c r="W124" s="93"/>
      <c r="X124" s="107"/>
    </row>
    <row r="125" spans="1:24" ht="20.25" customHeight="1">
      <c r="A125" s="90"/>
      <c r="B125" s="90"/>
      <c r="C125" s="90"/>
      <c r="D125" s="18"/>
      <c r="E125" s="18"/>
      <c r="F125" s="18"/>
      <c r="G125" s="90"/>
      <c r="H125" s="90"/>
      <c r="I125" s="91"/>
      <c r="J125" s="92"/>
      <c r="K125" s="91"/>
      <c r="L125" s="18"/>
      <c r="M125" s="92"/>
      <c r="N125" s="91"/>
      <c r="O125" s="18"/>
      <c r="P125" s="18"/>
      <c r="Q125" s="91"/>
      <c r="R125" s="18"/>
      <c r="S125" s="18"/>
      <c r="T125" s="18"/>
      <c r="U125" s="18"/>
      <c r="V125" s="108"/>
      <c r="W125" s="93"/>
      <c r="X125" s="107"/>
    </row>
    <row r="126" spans="1:24" ht="20.25" customHeight="1">
      <c r="A126" s="90"/>
      <c r="B126" s="90"/>
      <c r="C126" s="90"/>
      <c r="D126" s="18"/>
      <c r="E126" s="18"/>
      <c r="F126" s="18"/>
      <c r="G126" s="90"/>
      <c r="H126" s="90"/>
      <c r="I126" s="91"/>
      <c r="J126" s="92"/>
      <c r="K126" s="91"/>
      <c r="L126" s="18"/>
      <c r="M126" s="92"/>
      <c r="N126" s="91"/>
      <c r="O126" s="18"/>
      <c r="P126" s="18"/>
      <c r="Q126" s="91"/>
      <c r="R126" s="18"/>
      <c r="S126" s="18"/>
      <c r="T126" s="18"/>
      <c r="U126" s="18"/>
      <c r="V126" s="108"/>
      <c r="W126" s="93"/>
      <c r="X126" s="107"/>
    </row>
    <row r="127" spans="1:24" ht="20.25" customHeight="1">
      <c r="A127" s="90"/>
      <c r="B127" s="90"/>
      <c r="C127" s="90"/>
      <c r="D127" s="18"/>
      <c r="E127" s="18"/>
      <c r="F127" s="18"/>
      <c r="G127" s="90"/>
      <c r="H127" s="90"/>
      <c r="I127" s="91"/>
      <c r="J127" s="92"/>
      <c r="K127" s="91"/>
      <c r="L127" s="18"/>
      <c r="M127" s="92"/>
      <c r="N127" s="91"/>
      <c r="O127" s="18"/>
      <c r="P127" s="18"/>
      <c r="Q127" s="91"/>
      <c r="R127" s="18"/>
      <c r="S127" s="18"/>
      <c r="T127" s="18"/>
      <c r="U127" s="18"/>
      <c r="V127" s="108"/>
      <c r="W127" s="93"/>
      <c r="X127" s="107"/>
    </row>
    <row r="128" spans="1:24" ht="20.25" customHeight="1">
      <c r="A128" s="90"/>
      <c r="B128" s="90"/>
      <c r="C128" s="90"/>
      <c r="D128" s="18"/>
      <c r="E128" s="18"/>
      <c r="F128" s="18"/>
      <c r="G128" s="90"/>
      <c r="H128" s="90"/>
      <c r="I128" s="91"/>
      <c r="J128" s="92"/>
      <c r="K128" s="91"/>
      <c r="L128" s="18"/>
      <c r="M128" s="92"/>
      <c r="N128" s="91"/>
      <c r="O128" s="18"/>
      <c r="P128" s="18"/>
      <c r="Q128" s="91"/>
      <c r="R128" s="18"/>
      <c r="S128" s="18"/>
      <c r="T128" s="18"/>
      <c r="U128" s="18"/>
      <c r="V128" s="108"/>
      <c r="W128" s="93"/>
      <c r="X128" s="107"/>
    </row>
    <row r="129" spans="1:24" ht="20.25" customHeight="1">
      <c r="A129" s="90"/>
      <c r="B129" s="90"/>
      <c r="C129" s="90"/>
      <c r="D129" s="18"/>
      <c r="E129" s="18"/>
      <c r="F129" s="18"/>
      <c r="G129" s="90"/>
      <c r="H129" s="90"/>
      <c r="I129" s="91"/>
      <c r="J129" s="92"/>
      <c r="K129" s="91"/>
      <c r="L129" s="18"/>
      <c r="M129" s="92"/>
      <c r="N129" s="91"/>
      <c r="O129" s="18"/>
      <c r="P129" s="18"/>
      <c r="Q129" s="91"/>
      <c r="R129" s="18"/>
      <c r="S129" s="18"/>
      <c r="T129" s="18"/>
      <c r="U129" s="18"/>
      <c r="V129" s="108"/>
      <c r="W129" s="93"/>
      <c r="X129" s="107"/>
    </row>
    <row r="130" spans="1:24" ht="20.25" customHeight="1">
      <c r="A130" s="90"/>
      <c r="B130" s="90"/>
      <c r="C130" s="90"/>
      <c r="D130" s="18"/>
      <c r="E130" s="18"/>
      <c r="F130" s="18"/>
      <c r="G130" s="90"/>
      <c r="H130" s="90"/>
      <c r="I130" s="91"/>
      <c r="J130" s="92"/>
      <c r="K130" s="91"/>
      <c r="L130" s="18"/>
      <c r="M130" s="92"/>
      <c r="N130" s="91"/>
      <c r="O130" s="18"/>
      <c r="P130" s="18"/>
      <c r="Q130" s="91"/>
      <c r="R130" s="18"/>
      <c r="S130" s="18"/>
      <c r="T130" s="18"/>
      <c r="U130" s="18"/>
      <c r="V130" s="108"/>
      <c r="W130" s="93"/>
      <c r="X130" s="107"/>
    </row>
  </sheetData>
  <sheetProtection/>
  <autoFilter ref="A7:DO130"/>
  <mergeCells count="20">
    <mergeCell ref="A1:V1"/>
    <mergeCell ref="A2:F2"/>
    <mergeCell ref="G2:V2"/>
    <mergeCell ref="A3:F3"/>
    <mergeCell ref="G3:V3"/>
    <mergeCell ref="A5:C5"/>
    <mergeCell ref="Q4:V4"/>
    <mergeCell ref="A6:A7"/>
    <mergeCell ref="B6:B7"/>
    <mergeCell ref="I6:M6"/>
    <mergeCell ref="F4:H4"/>
    <mergeCell ref="C6:F6"/>
    <mergeCell ref="G6:H6"/>
    <mergeCell ref="J5:O5"/>
    <mergeCell ref="V6:V7"/>
    <mergeCell ref="N6:O6"/>
    <mergeCell ref="F5:H5"/>
    <mergeCell ref="J4:O4"/>
    <mergeCell ref="Q5:V5"/>
    <mergeCell ref="Q6:U6"/>
  </mergeCells>
  <printOptions/>
  <pageMargins left="0.5118110236220472" right="0.31496062992125984" top="0.3937007874015748" bottom="0.3937007874015748" header="0.31496062992125984" footer="0.31496062992125984"/>
  <pageSetup horizontalDpi="600" verticalDpi="600" orientation="portrait" paperSize="9" r:id="rId3"/>
  <headerFooter>
    <oddFooter>&amp;C</oddFooter>
  </headerFooter>
  <legacyDrawing r:id="rId2"/>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 sqref="B2"/>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8.5">
      <c r="B1" s="1" t="s">
        <v>67</v>
      </c>
      <c r="C1" s="1"/>
      <c r="D1" s="5"/>
      <c r="E1" s="5"/>
      <c r="F1" s="5"/>
    </row>
    <row r="2" spans="2:6" ht="14.25">
      <c r="B2" s="1" t="s">
        <v>68</v>
      </c>
      <c r="C2" s="1"/>
      <c r="D2" s="5"/>
      <c r="E2" s="5"/>
      <c r="F2" s="5"/>
    </row>
    <row r="3" spans="2:6" ht="14.25">
      <c r="B3" s="2"/>
      <c r="C3" s="2"/>
      <c r="D3" s="6"/>
      <c r="E3" s="6"/>
      <c r="F3" s="6"/>
    </row>
    <row r="4" spans="2:6" ht="57.75">
      <c r="B4" s="2" t="s">
        <v>69</v>
      </c>
      <c r="C4" s="2"/>
      <c r="D4" s="6"/>
      <c r="E4" s="6"/>
      <c r="F4" s="6"/>
    </row>
    <row r="5" spans="2:6" ht="14.25">
      <c r="B5" s="2"/>
      <c r="C5" s="2"/>
      <c r="D5" s="6"/>
      <c r="E5" s="6"/>
      <c r="F5" s="6"/>
    </row>
    <row r="6" spans="2:6" ht="28.5">
      <c r="B6" s="1" t="s">
        <v>70</v>
      </c>
      <c r="C6" s="1"/>
      <c r="D6" s="5"/>
      <c r="E6" s="5" t="s">
        <v>71</v>
      </c>
      <c r="F6" s="5" t="s">
        <v>72</v>
      </c>
    </row>
    <row r="7" spans="2:6" ht="15" thickBot="1">
      <c r="B7" s="2"/>
      <c r="C7" s="2"/>
      <c r="D7" s="6"/>
      <c r="E7" s="6"/>
      <c r="F7" s="6"/>
    </row>
    <row r="8" spans="2:6" ht="43.5" thickBot="1">
      <c r="B8" s="3" t="s">
        <v>73</v>
      </c>
      <c r="C8" s="4"/>
      <c r="D8" s="7"/>
      <c r="E8" s="7">
        <v>2</v>
      </c>
      <c r="F8" s="8" t="s">
        <v>74</v>
      </c>
    </row>
    <row r="9" spans="2:6" ht="14.25">
      <c r="B9" s="2"/>
      <c r="C9" s="2"/>
      <c r="D9" s="6"/>
      <c r="E9" s="6"/>
      <c r="F9" s="6"/>
    </row>
    <row r="10" spans="2:6" ht="14.25">
      <c r="B10" s="2"/>
      <c r="C10" s="2"/>
      <c r="D10" s="6"/>
      <c r="E10" s="6"/>
      <c r="F10" s="6"/>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dc:creator>
  <cp:keywords/>
  <dc:description/>
  <cp:lastModifiedBy>monica.knecht</cp:lastModifiedBy>
  <cp:lastPrinted>2022-10-17T20:57:51Z</cp:lastPrinted>
  <dcterms:created xsi:type="dcterms:W3CDTF">2017-05-09T13:26:02Z</dcterms:created>
  <dcterms:modified xsi:type="dcterms:W3CDTF">2023-01-02T13:01:05Z</dcterms:modified>
  <cp:category/>
  <cp:version/>
  <cp:contentType/>
  <cp:contentStatus/>
</cp:coreProperties>
</file>